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556AECB3-11B2-4B43-A0DE-75451F4C5C63}" xr6:coauthVersionLast="47" xr6:coauthVersionMax="47" xr10:uidLastSave="{00000000-0000-0000-0000-000000000000}"/>
  <bookViews>
    <workbookView xWindow="-120" yWindow="-120" windowWidth="29040" windowHeight="15840" xr2:uid="{00000000-000D-0000-FFFF-FFFF00000000}"/>
  </bookViews>
  <sheets>
    <sheet name="Cover" sheetId="14" r:id="rId1"/>
    <sheet name="1. Current Cap Table" sheetId="17" r:id="rId2"/>
    <sheet name="2. Option Grant Ledger" sheetId="26" r:id="rId3"/>
    <sheet name="3. Convertible Securities" sheetId="25" r:id="rId4"/>
    <sheet name="4. Pro Forma Cap Table" sheetId="18" r:id="rId5"/>
  </sheets>
  <definedNames>
    <definedName name="_xlnm.Print_Area" localSheetId="0">Cover!#REF!</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7" l="1"/>
  <c r="E25" i="17"/>
  <c r="E24" i="17"/>
  <c r="E23" i="17"/>
  <c r="E22" i="17"/>
  <c r="E21" i="17"/>
  <c r="D70" i="18" s="1"/>
  <c r="E20" i="17"/>
  <c r="E19" i="17"/>
  <c r="D68" i="18" s="1"/>
  <c r="E18" i="17"/>
  <c r="E17" i="17"/>
  <c r="E16" i="17"/>
  <c r="E15" i="17"/>
  <c r="D64" i="18" s="1"/>
  <c r="E14" i="17"/>
  <c r="E13" i="17"/>
  <c r="E12" i="17"/>
  <c r="E11" i="17"/>
  <c r="D60" i="18" s="1"/>
  <c r="E10" i="17"/>
  <c r="J78" i="18"/>
  <c r="H78" i="18"/>
  <c r="E78" i="18"/>
  <c r="D78" i="18"/>
  <c r="F78" i="18" s="1"/>
  <c r="J77" i="18"/>
  <c r="B77" i="18"/>
  <c r="D74" i="18"/>
  <c r="B74" i="18"/>
  <c r="C74" i="18" s="1"/>
  <c r="H73" i="18"/>
  <c r="B73" i="18"/>
  <c r="J73" i="18" s="1"/>
  <c r="B72" i="18"/>
  <c r="C72" i="18" s="1"/>
  <c r="H71" i="18"/>
  <c r="B71" i="18"/>
  <c r="J71" i="18" s="1"/>
  <c r="B70" i="18"/>
  <c r="C70" i="18" s="1"/>
  <c r="B69" i="18"/>
  <c r="B68" i="18"/>
  <c r="C68" i="18" s="1"/>
  <c r="J67" i="18"/>
  <c r="B67" i="18"/>
  <c r="B66" i="18"/>
  <c r="C66" i="18" s="1"/>
  <c r="J65" i="18"/>
  <c r="H65" i="18"/>
  <c r="B65" i="18"/>
  <c r="B64" i="18"/>
  <c r="C64" i="18" s="1"/>
  <c r="J63" i="18"/>
  <c r="H63" i="18"/>
  <c r="B63" i="18"/>
  <c r="B62" i="18"/>
  <c r="C62" i="18" s="1"/>
  <c r="B61" i="18"/>
  <c r="B60" i="18"/>
  <c r="C60" i="18" s="1"/>
  <c r="J59" i="18"/>
  <c r="H59" i="18"/>
  <c r="B59" i="18"/>
  <c r="O56" i="18"/>
  <c r="L56" i="18"/>
  <c r="M53" i="18"/>
  <c r="H53" i="18"/>
  <c r="F53" i="18"/>
  <c r="E53" i="18"/>
  <c r="B53" i="18"/>
  <c r="F52" i="18"/>
  <c r="E52" i="18"/>
  <c r="B52" i="18"/>
  <c r="H52" i="18" s="1"/>
  <c r="B51" i="18"/>
  <c r="M51" i="18" s="1"/>
  <c r="H50" i="18"/>
  <c r="B50" i="18"/>
  <c r="M49" i="18"/>
  <c r="H49" i="18"/>
  <c r="F49" i="18"/>
  <c r="B49" i="18"/>
  <c r="D41" i="18"/>
  <c r="B41" i="18"/>
  <c r="D40" i="18"/>
  <c r="B40" i="18"/>
  <c r="D39" i="18"/>
  <c r="B39" i="18"/>
  <c r="D38" i="18"/>
  <c r="B38" i="18"/>
  <c r="D37" i="18"/>
  <c r="B37" i="18"/>
  <c r="B76" i="18" s="1"/>
  <c r="D36" i="18"/>
  <c r="D42" i="18" s="1"/>
  <c r="D43" i="18" s="1"/>
  <c r="B36" i="18"/>
  <c r="B75" i="18" s="1"/>
  <c r="D33" i="18"/>
  <c r="E22" i="25"/>
  <c r="K21" i="25"/>
  <c r="J21" i="25"/>
  <c r="I21" i="25"/>
  <c r="H21" i="25"/>
  <c r="G21" i="25"/>
  <c r="K20" i="25"/>
  <c r="J20" i="25"/>
  <c r="M52" i="18" s="1"/>
  <c r="I20" i="25"/>
  <c r="H20" i="25"/>
  <c r="G20" i="25"/>
  <c r="K19" i="25"/>
  <c r="J19" i="25"/>
  <c r="I19" i="25"/>
  <c r="H19" i="25"/>
  <c r="G19" i="25"/>
  <c r="K18" i="25"/>
  <c r="J18" i="25"/>
  <c r="I18" i="25"/>
  <c r="H18" i="25"/>
  <c r="G18" i="25"/>
  <c r="K17" i="25"/>
  <c r="J17" i="25"/>
  <c r="I17" i="25"/>
  <c r="H17" i="25"/>
  <c r="G17" i="25"/>
  <c r="F23" i="26"/>
  <c r="E23" i="26"/>
  <c r="D23" i="26"/>
  <c r="N29" i="26" s="1"/>
  <c r="G22" i="26"/>
  <c r="G21" i="26"/>
  <c r="G20" i="26"/>
  <c r="F19" i="17" s="1"/>
  <c r="E68" i="18" s="1"/>
  <c r="G19" i="26"/>
  <c r="F18" i="17" s="1"/>
  <c r="G18" i="17" s="1"/>
  <c r="G18" i="26"/>
  <c r="G17" i="26"/>
  <c r="G16" i="26"/>
  <c r="F16" i="17" s="1"/>
  <c r="E65" i="18" s="1"/>
  <c r="G15" i="26"/>
  <c r="F15" i="17" s="1"/>
  <c r="G14" i="26"/>
  <c r="G13" i="26"/>
  <c r="G12" i="26"/>
  <c r="G11" i="26"/>
  <c r="F11" i="17" s="1"/>
  <c r="G10" i="26"/>
  <c r="I28" i="17"/>
  <c r="J25" i="17" s="1"/>
  <c r="D28" i="17"/>
  <c r="G26" i="17"/>
  <c r="K26" i="17" s="1"/>
  <c r="F26" i="17"/>
  <c r="F25" i="17"/>
  <c r="J24" i="17"/>
  <c r="F24" i="17"/>
  <c r="E73" i="18" s="1"/>
  <c r="F23" i="17"/>
  <c r="E72" i="18" s="1"/>
  <c r="F22" i="17"/>
  <c r="E71" i="18" s="1"/>
  <c r="F21" i="17"/>
  <c r="J20" i="17"/>
  <c r="F20" i="17"/>
  <c r="G20" i="17" s="1"/>
  <c r="F17" i="17"/>
  <c r="D66" i="18"/>
  <c r="J16" i="17"/>
  <c r="F14" i="17"/>
  <c r="E63" i="18" s="1"/>
  <c r="F13" i="17"/>
  <c r="E62" i="18" s="1"/>
  <c r="J12" i="17"/>
  <c r="F12" i="17"/>
  <c r="G12" i="17" s="1"/>
  <c r="F10" i="17"/>
  <c r="G10" i="17" s="1"/>
  <c r="G14" i="17" l="1"/>
  <c r="K14" i="17" s="1"/>
  <c r="G22" i="17"/>
  <c r="K22" i="17" s="1"/>
  <c r="G23" i="17"/>
  <c r="K23" i="17" s="1"/>
  <c r="F68" i="18"/>
  <c r="G24" i="17"/>
  <c r="K24" i="17" s="1"/>
  <c r="K18" i="17"/>
  <c r="G13" i="17"/>
  <c r="E64" i="18"/>
  <c r="F64" i="18" s="1"/>
  <c r="G15" i="17"/>
  <c r="F27" i="17"/>
  <c r="G27" i="17" s="1"/>
  <c r="K20" i="17"/>
  <c r="E74" i="18"/>
  <c r="F74" i="18" s="1"/>
  <c r="G25" i="17"/>
  <c r="E66" i="18"/>
  <c r="F66" i="18" s="1"/>
  <c r="G17" i="17"/>
  <c r="F28" i="17"/>
  <c r="F29" i="17" s="1"/>
  <c r="E60" i="18"/>
  <c r="F60" i="18" s="1"/>
  <c r="K10" i="17"/>
  <c r="K12" i="17"/>
  <c r="G16" i="17"/>
  <c r="E70" i="18"/>
  <c r="F70" i="18" s="1"/>
  <c r="G21" i="17"/>
  <c r="E28" i="17"/>
  <c r="E29" i="17" s="1"/>
  <c r="G50" i="18"/>
  <c r="L50" i="18"/>
  <c r="D50" i="18"/>
  <c r="K50" i="18"/>
  <c r="C50" i="18"/>
  <c r="E51" i="18"/>
  <c r="J14" i="17"/>
  <c r="J22" i="17"/>
  <c r="G49" i="18"/>
  <c r="L49" i="18"/>
  <c r="D49" i="18"/>
  <c r="K49" i="18"/>
  <c r="C49" i="18"/>
  <c r="M67" i="18" s="1"/>
  <c r="E50" i="18"/>
  <c r="D59" i="18"/>
  <c r="C59" i="18"/>
  <c r="E61" i="18"/>
  <c r="G11" i="17"/>
  <c r="J13" i="17"/>
  <c r="G19" i="17"/>
  <c r="J21" i="17"/>
  <c r="G23" i="26"/>
  <c r="E49" i="18"/>
  <c r="F50" i="18"/>
  <c r="H51" i="18"/>
  <c r="E59" i="18"/>
  <c r="H61" i="18"/>
  <c r="D65" i="18"/>
  <c r="F65" i="18" s="1"/>
  <c r="C65" i="18"/>
  <c r="D62" i="18"/>
  <c r="F62" i="18" s="1"/>
  <c r="J75" i="18"/>
  <c r="H75" i="18"/>
  <c r="J11" i="17"/>
  <c r="J19" i="17"/>
  <c r="J27" i="17"/>
  <c r="J61" i="18"/>
  <c r="D69" i="18"/>
  <c r="C69" i="18"/>
  <c r="J10" i="17"/>
  <c r="J18" i="17"/>
  <c r="G53" i="18"/>
  <c r="I53" i="18" s="1"/>
  <c r="J53" i="18" s="1"/>
  <c r="L53" i="18"/>
  <c r="D53" i="18"/>
  <c r="K53" i="18"/>
  <c r="C53" i="18"/>
  <c r="D63" i="18"/>
  <c r="F63" i="18" s="1"/>
  <c r="C63" i="18"/>
  <c r="E69" i="18"/>
  <c r="J17" i="17"/>
  <c r="J23" i="17"/>
  <c r="J76" i="18"/>
  <c r="H76" i="18"/>
  <c r="M50" i="18"/>
  <c r="G52" i="18"/>
  <c r="I52" i="18" s="1"/>
  <c r="J52" i="18" s="1"/>
  <c r="L52" i="18"/>
  <c r="D52" i="18"/>
  <c r="K52" i="18"/>
  <c r="C52" i="18"/>
  <c r="N63" i="18" s="1"/>
  <c r="H69" i="18"/>
  <c r="G51" i="18"/>
  <c r="L51" i="18"/>
  <c r="D51" i="18"/>
  <c r="K51" i="18"/>
  <c r="C51" i="18"/>
  <c r="L67" i="18"/>
  <c r="D67" i="18"/>
  <c r="C67" i="18"/>
  <c r="O61" i="18"/>
  <c r="N61" i="18"/>
  <c r="D61" i="18"/>
  <c r="C61" i="18"/>
  <c r="E67" i="18"/>
  <c r="J69" i="18"/>
  <c r="Q75" i="18"/>
  <c r="J15" i="17"/>
  <c r="J26" i="17"/>
  <c r="F51" i="18"/>
  <c r="H67" i="18"/>
  <c r="D72" i="18"/>
  <c r="F72" i="18" s="1"/>
  <c r="O60" i="18"/>
  <c r="O66" i="18"/>
  <c r="O68" i="18"/>
  <c r="C71" i="18"/>
  <c r="O72" i="18"/>
  <c r="C73" i="18"/>
  <c r="D77" i="18"/>
  <c r="L77" i="18"/>
  <c r="H60" i="18"/>
  <c r="H62" i="18"/>
  <c r="P62" i="18"/>
  <c r="H64" i="18"/>
  <c r="H66" i="18"/>
  <c r="P66" i="18"/>
  <c r="H68" i="18"/>
  <c r="H70" i="18"/>
  <c r="P70" i="18"/>
  <c r="D71" i="18"/>
  <c r="F71" i="18" s="1"/>
  <c r="H72" i="18"/>
  <c r="P72" i="18"/>
  <c r="D73" i="18"/>
  <c r="F73" i="18" s="1"/>
  <c r="H74" i="18"/>
  <c r="E77" i="18"/>
  <c r="J60" i="18"/>
  <c r="J62" i="18"/>
  <c r="J79" i="18" s="1"/>
  <c r="J64" i="18"/>
  <c r="J66" i="18"/>
  <c r="J68" i="18"/>
  <c r="J70" i="18"/>
  <c r="J72" i="18"/>
  <c r="J74" i="18"/>
  <c r="O77" i="18"/>
  <c r="O73" i="18"/>
  <c r="H77" i="18"/>
  <c r="F61" i="18" l="1"/>
  <c r="H79" i="18"/>
  <c r="H80" i="18" s="1"/>
  <c r="N67" i="18"/>
  <c r="O69" i="18"/>
  <c r="O64" i="18"/>
  <c r="M77" i="18"/>
  <c r="L71" i="18"/>
  <c r="P64" i="18"/>
  <c r="O74" i="18"/>
  <c r="O62" i="18"/>
  <c r="L61" i="18"/>
  <c r="O76" i="18"/>
  <c r="O63" i="18"/>
  <c r="K11" i="17"/>
  <c r="C32" i="17" s="1"/>
  <c r="K21" i="17"/>
  <c r="C34" i="17" s="1"/>
  <c r="K16" i="17"/>
  <c r="K27" i="17"/>
  <c r="M61" i="18"/>
  <c r="J28" i="17"/>
  <c r="L75" i="18"/>
  <c r="I50" i="18"/>
  <c r="J50" i="18" s="1"/>
  <c r="J51" i="18"/>
  <c r="I51" i="18"/>
  <c r="P76" i="18"/>
  <c r="M75" i="18"/>
  <c r="L65" i="18"/>
  <c r="Q78" i="18"/>
  <c r="N74" i="18"/>
  <c r="N70" i="18"/>
  <c r="P78" i="18"/>
  <c r="O78" i="18"/>
  <c r="Q77" i="18"/>
  <c r="L74" i="18"/>
  <c r="N78" i="18"/>
  <c r="C29" i="18"/>
  <c r="E29" i="18" s="1"/>
  <c r="M78" i="18"/>
  <c r="L78" i="18"/>
  <c r="N77" i="18"/>
  <c r="C31" i="18"/>
  <c r="E31" i="18" s="1"/>
  <c r="C27" i="18"/>
  <c r="Q68" i="18"/>
  <c r="L66" i="18"/>
  <c r="Q65" i="18"/>
  <c r="N62" i="18"/>
  <c r="N68" i="18"/>
  <c r="P65" i="18"/>
  <c r="M62" i="18"/>
  <c r="N59" i="18"/>
  <c r="Q73" i="18"/>
  <c r="M68" i="18"/>
  <c r="M65" i="18"/>
  <c r="Q64" i="18"/>
  <c r="L62" i="18"/>
  <c r="Q61" i="18"/>
  <c r="M59" i="18"/>
  <c r="P73" i="18"/>
  <c r="Q72" i="18"/>
  <c r="L68" i="18"/>
  <c r="N64" i="18"/>
  <c r="C32" i="18"/>
  <c r="E32" i="18" s="1"/>
  <c r="M74" i="18"/>
  <c r="Q70" i="18"/>
  <c r="M64" i="18"/>
  <c r="Q60" i="18"/>
  <c r="L64" i="18"/>
  <c r="C36" i="18"/>
  <c r="L72" i="18"/>
  <c r="M70" i="18"/>
  <c r="Q66" i="18"/>
  <c r="Q63" i="18"/>
  <c r="N60" i="18"/>
  <c r="C30" i="18"/>
  <c r="E30" i="18" s="1"/>
  <c r="L70" i="18"/>
  <c r="Q69" i="18"/>
  <c r="N66" i="18"/>
  <c r="P63" i="18"/>
  <c r="M60" i="18"/>
  <c r="M66" i="18"/>
  <c r="Q62" i="18"/>
  <c r="L60" i="18"/>
  <c r="C28" i="18"/>
  <c r="E28" i="18" s="1"/>
  <c r="C37" i="18"/>
  <c r="E37" i="18" s="1"/>
  <c r="K17" i="17"/>
  <c r="K15" i="17"/>
  <c r="I62" i="18"/>
  <c r="P67" i="18"/>
  <c r="F69" i="18"/>
  <c r="H21" i="18" s="1"/>
  <c r="N75" i="18"/>
  <c r="N65" i="18"/>
  <c r="I49" i="18"/>
  <c r="I54" i="18" s="1"/>
  <c r="E54" i="18"/>
  <c r="E55" i="18" s="1"/>
  <c r="P59" i="18"/>
  <c r="G28" i="17"/>
  <c r="H21" i="17" s="1"/>
  <c r="Q76" i="18"/>
  <c r="I77" i="18"/>
  <c r="I74" i="18"/>
  <c r="O71" i="18"/>
  <c r="L73" i="18"/>
  <c r="P68" i="18"/>
  <c r="P60" i="18"/>
  <c r="O70" i="18"/>
  <c r="M69" i="18"/>
  <c r="F67" i="18"/>
  <c r="H20" i="18" s="1"/>
  <c r="L76" i="18"/>
  <c r="L69" i="18"/>
  <c r="P77" i="18"/>
  <c r="O65" i="18"/>
  <c r="H22" i="18"/>
  <c r="H23" i="18"/>
  <c r="P61" i="18"/>
  <c r="K13" i="17"/>
  <c r="I60" i="18"/>
  <c r="M76" i="18"/>
  <c r="N69" i="18"/>
  <c r="O75" i="18"/>
  <c r="I61" i="18"/>
  <c r="D79" i="18"/>
  <c r="D80" i="18" s="1"/>
  <c r="F59" i="18"/>
  <c r="H19" i="18" s="1"/>
  <c r="I68" i="18"/>
  <c r="I69" i="18"/>
  <c r="L63" i="18"/>
  <c r="I75" i="18"/>
  <c r="Q59" i="18"/>
  <c r="K19" i="17"/>
  <c r="L59" i="18"/>
  <c r="Q67" i="18"/>
  <c r="P69" i="18"/>
  <c r="I67" i="18"/>
  <c r="N76" i="18"/>
  <c r="I72" i="18"/>
  <c r="F77" i="18"/>
  <c r="H24" i="18" s="1"/>
  <c r="O67" i="18"/>
  <c r="P75" i="18"/>
  <c r="E79" i="18"/>
  <c r="E80" i="18" s="1"/>
  <c r="O59" i="18"/>
  <c r="M63" i="18"/>
  <c r="K25" i="17"/>
  <c r="C35" i="17" s="1"/>
  <c r="I70" i="18" l="1"/>
  <c r="I64" i="18"/>
  <c r="I78" i="18"/>
  <c r="I59" i="18"/>
  <c r="I73" i="18"/>
  <c r="I63" i="18"/>
  <c r="I66" i="18"/>
  <c r="I65" i="18"/>
  <c r="I76" i="18"/>
  <c r="I71" i="18"/>
  <c r="H25" i="17"/>
  <c r="H13" i="17"/>
  <c r="H25" i="18"/>
  <c r="H26" i="18" s="1"/>
  <c r="O79" i="18"/>
  <c r="P80" i="18" s="1"/>
  <c r="H15" i="17"/>
  <c r="H19" i="17"/>
  <c r="J49" i="18"/>
  <c r="E36" i="18"/>
  <c r="C33" i="18"/>
  <c r="C34" i="18" s="1"/>
  <c r="E27" i="18"/>
  <c r="H26" i="17"/>
  <c r="H22" i="17"/>
  <c r="H14" i="17"/>
  <c r="H24" i="17"/>
  <c r="H23" i="17"/>
  <c r="H10" i="17"/>
  <c r="H20" i="17"/>
  <c r="H12" i="17"/>
  <c r="H18" i="17"/>
  <c r="H11" i="17"/>
  <c r="K28" i="17"/>
  <c r="L13" i="17" s="1"/>
  <c r="F79" i="18"/>
  <c r="G59" i="18" s="1"/>
  <c r="H17" i="17"/>
  <c r="C33" i="17"/>
  <c r="C36" i="17"/>
  <c r="H27" i="17"/>
  <c r="H16" i="17"/>
  <c r="L79" i="18"/>
  <c r="M80" i="18" s="1"/>
  <c r="I20" i="18" l="1"/>
  <c r="I79" i="18"/>
  <c r="I22" i="18"/>
  <c r="G77" i="18"/>
  <c r="G67" i="18"/>
  <c r="G69" i="18"/>
  <c r="L19" i="17"/>
  <c r="L21" i="17"/>
  <c r="L25" i="17"/>
  <c r="L17" i="17"/>
  <c r="L27" i="17"/>
  <c r="L16" i="17"/>
  <c r="I23" i="18"/>
  <c r="E33" i="18"/>
  <c r="J80" i="18"/>
  <c r="L15" i="17"/>
  <c r="C37" i="17"/>
  <c r="D36" i="17" s="1"/>
  <c r="J54" i="18"/>
  <c r="I24" i="18"/>
  <c r="G76" i="18"/>
  <c r="G75" i="18"/>
  <c r="E23" i="18"/>
  <c r="E24" i="18" s="1"/>
  <c r="N49" i="18"/>
  <c r="O49" i="18" s="1"/>
  <c r="N51" i="18"/>
  <c r="O51" i="18" s="1"/>
  <c r="N52" i="18"/>
  <c r="O52" i="18" s="1"/>
  <c r="T52" i="18" s="1"/>
  <c r="N53" i="18"/>
  <c r="O53" i="18" s="1"/>
  <c r="T53" i="18" s="1"/>
  <c r="N50" i="18"/>
  <c r="O50" i="18" s="1"/>
  <c r="G68" i="18"/>
  <c r="G78" i="18"/>
  <c r="G61" i="18"/>
  <c r="G71" i="18"/>
  <c r="G70" i="18"/>
  <c r="G64" i="18"/>
  <c r="G65" i="18"/>
  <c r="G73" i="18"/>
  <c r="G62" i="18"/>
  <c r="G63" i="18"/>
  <c r="G72" i="18"/>
  <c r="G66" i="18"/>
  <c r="G74" i="18"/>
  <c r="G60" i="18"/>
  <c r="H28" i="17"/>
  <c r="I21" i="18"/>
  <c r="N32" i="26"/>
  <c r="L23" i="17"/>
  <c r="L26" i="17"/>
  <c r="L18" i="17"/>
  <c r="L12" i="17"/>
  <c r="L14" i="17"/>
  <c r="L22" i="17"/>
  <c r="L10" i="17"/>
  <c r="L20" i="17"/>
  <c r="L24" i="17"/>
  <c r="L11" i="17"/>
  <c r="I19" i="18"/>
  <c r="G79" i="18" l="1"/>
  <c r="I25" i="18"/>
  <c r="L28" i="17"/>
  <c r="E37" i="17"/>
  <c r="D32" i="17"/>
  <c r="D35" i="17"/>
  <c r="D34" i="17"/>
  <c r="K78" i="18"/>
  <c r="R78" i="18" s="1"/>
  <c r="K67" i="18"/>
  <c r="R67" i="18" s="1"/>
  <c r="K71" i="18"/>
  <c r="K73" i="18"/>
  <c r="K63" i="18"/>
  <c r="R63" i="18" s="1"/>
  <c r="K77" i="18"/>
  <c r="R77" i="18" s="1"/>
  <c r="K59" i="18"/>
  <c r="K65" i="18"/>
  <c r="R65" i="18" s="1"/>
  <c r="K64" i="18"/>
  <c r="R64" i="18" s="1"/>
  <c r="K61" i="18"/>
  <c r="R61" i="18" s="1"/>
  <c r="K74" i="18"/>
  <c r="K72" i="18"/>
  <c r="K76" i="18"/>
  <c r="R76" i="18" s="1"/>
  <c r="K62" i="18"/>
  <c r="R62" i="18" s="1"/>
  <c r="K75" i="18"/>
  <c r="R75" i="18" s="1"/>
  <c r="K68" i="18"/>
  <c r="R68" i="18" s="1"/>
  <c r="K69" i="18"/>
  <c r="R69" i="18" s="1"/>
  <c r="R50" i="18"/>
  <c r="S50" i="18" s="1"/>
  <c r="R51" i="18"/>
  <c r="S51" i="18" s="1"/>
  <c r="K66" i="18"/>
  <c r="R66" i="18" s="1"/>
  <c r="R52" i="18"/>
  <c r="S52" i="18" s="1"/>
  <c r="U52" i="18" s="1"/>
  <c r="V52" i="18" s="1"/>
  <c r="K60" i="18"/>
  <c r="R60" i="18" s="1"/>
  <c r="R53" i="18"/>
  <c r="S53" i="18" s="1"/>
  <c r="U53" i="18" s="1"/>
  <c r="V53" i="18" s="1"/>
  <c r="K70" i="18"/>
  <c r="R70" i="18" s="1"/>
  <c r="R49" i="18"/>
  <c r="S49" i="18" s="1"/>
  <c r="N27" i="26"/>
  <c r="N30" i="26"/>
  <c r="D33" i="17"/>
  <c r="X52" i="18" l="1"/>
  <c r="T61" i="18"/>
  <c r="T67" i="18"/>
  <c r="T69" i="18"/>
  <c r="T64" i="18"/>
  <c r="T70" i="18"/>
  <c r="T68" i="18"/>
  <c r="T65" i="18"/>
  <c r="T78" i="18"/>
  <c r="W53" i="18"/>
  <c r="Q74" i="18"/>
  <c r="R74" i="18" s="1"/>
  <c r="T75" i="18"/>
  <c r="K79" i="18"/>
  <c r="R59" i="18"/>
  <c r="X53" i="18"/>
  <c r="T60" i="18"/>
  <c r="T62" i="18"/>
  <c r="T77" i="18"/>
  <c r="W52" i="18"/>
  <c r="Q71" i="18"/>
  <c r="T76" i="18"/>
  <c r="T63" i="18"/>
  <c r="T66" i="18"/>
  <c r="D37" i="17"/>
  <c r="J20" i="18" l="1"/>
  <c r="Q79" i="18"/>
  <c r="R80" i="18" s="1"/>
  <c r="Y52" i="18"/>
  <c r="P71" i="18"/>
  <c r="T59" i="18"/>
  <c r="J24" i="18"/>
  <c r="J21" i="18"/>
  <c r="J23" i="18"/>
  <c r="T74" i="18"/>
  <c r="Y53" i="18"/>
  <c r="P74" i="18"/>
  <c r="C41" i="18"/>
  <c r="E41" i="18" s="1"/>
  <c r="P79" i="18" l="1"/>
  <c r="Q80" i="18" s="1"/>
  <c r="J19" i="18"/>
  <c r="K19" i="18"/>
  <c r="E20" i="18"/>
  <c r="K20" i="18"/>
  <c r="K21" i="18"/>
  <c r="J22" i="18"/>
  <c r="K22" i="18"/>
  <c r="K23" i="18"/>
  <c r="K24" i="18"/>
  <c r="J25" i="18"/>
  <c r="K25" i="18"/>
  <c r="J26" i="18"/>
  <c r="P35" i="18"/>
  <c r="C38" i="18"/>
  <c r="E38" i="18"/>
  <c r="C39" i="18"/>
  <c r="E39" i="18"/>
  <c r="C40" i="18"/>
  <c r="E40" i="18"/>
  <c r="C42" i="18"/>
  <c r="E42" i="18"/>
  <c r="C43" i="18"/>
  <c r="E44" i="18"/>
  <c r="P49" i="18"/>
  <c r="Q49" i="18"/>
  <c r="T49" i="18"/>
  <c r="U49" i="18"/>
  <c r="V49" i="18"/>
  <c r="W49" i="18"/>
  <c r="X49" i="18"/>
  <c r="Y49" i="18"/>
  <c r="P50" i="18"/>
  <c r="Q50" i="18"/>
  <c r="T50" i="18"/>
  <c r="U50" i="18"/>
  <c r="V50" i="18"/>
  <c r="W50" i="18"/>
  <c r="X50" i="18"/>
  <c r="Y50" i="18"/>
  <c r="P51" i="18"/>
  <c r="Q51" i="18"/>
  <c r="T51" i="18"/>
  <c r="U51" i="18"/>
  <c r="V51" i="18"/>
  <c r="W51" i="18"/>
  <c r="X51" i="18"/>
  <c r="Y51" i="18"/>
  <c r="P52" i="18"/>
  <c r="Q52" i="18"/>
  <c r="P53" i="18"/>
  <c r="Q53" i="18"/>
  <c r="V54" i="18"/>
  <c r="W54" i="18"/>
  <c r="S59" i="18"/>
  <c r="U59" i="18"/>
  <c r="S60" i="18"/>
  <c r="U60" i="18"/>
  <c r="S61" i="18"/>
  <c r="U61" i="18"/>
  <c r="S62" i="18"/>
  <c r="U62" i="18"/>
  <c r="S63" i="18"/>
  <c r="U63" i="18"/>
  <c r="S64" i="18"/>
  <c r="U64" i="18"/>
  <c r="S65" i="18"/>
  <c r="U65" i="18"/>
  <c r="S66" i="18"/>
  <c r="U66" i="18"/>
  <c r="S67" i="18"/>
  <c r="U67" i="18"/>
  <c r="S68" i="18"/>
  <c r="U68" i="18"/>
  <c r="S69" i="18"/>
  <c r="U69" i="18"/>
  <c r="S70" i="18"/>
  <c r="U70" i="18"/>
  <c r="M71" i="18"/>
  <c r="N71" i="18"/>
  <c r="R71" i="18"/>
  <c r="S71" i="18"/>
  <c r="T71" i="18"/>
  <c r="U71" i="18"/>
  <c r="M72" i="18"/>
  <c r="N72" i="18"/>
  <c r="R72" i="18"/>
  <c r="S72" i="18"/>
  <c r="T72" i="18"/>
  <c r="U72" i="18"/>
  <c r="M73" i="18"/>
  <c r="N73" i="18"/>
  <c r="R73" i="18"/>
  <c r="S73" i="18"/>
  <c r="T73" i="18"/>
  <c r="U73" i="18"/>
  <c r="S74" i="18"/>
  <c r="U74" i="18"/>
  <c r="S75" i="18"/>
  <c r="U75" i="18"/>
  <c r="S76" i="18"/>
  <c r="U76" i="18"/>
  <c r="S77" i="18"/>
  <c r="U77" i="18"/>
  <c r="S78" i="18"/>
  <c r="U78" i="18"/>
  <c r="M79" i="18"/>
  <c r="N79" i="18"/>
  <c r="R79" i="18"/>
  <c r="S79" i="18"/>
  <c r="T79" i="18"/>
  <c r="U79" i="18"/>
  <c r="N80" i="18"/>
  <c r="O80" i="18"/>
</calcChain>
</file>

<file path=xl/sharedStrings.xml><?xml version="1.0" encoding="utf-8"?>
<sst xmlns="http://schemas.openxmlformats.org/spreadsheetml/2006/main" count="382" uniqueCount="232">
  <si>
    <t xml:space="preserve"> </t>
  </si>
  <si>
    <t>CAPITALIZATION TABLE TEMPLATE</t>
  </si>
  <si>
    <t>This template will:</t>
  </si>
  <si>
    <t>1.  Help you build and interpret cap tables at different stages of funding</t>
  </si>
  <si>
    <t>2.  Illustrate how ownership changes with valuation in new investment rounds</t>
  </si>
  <si>
    <t>3.  Demonstrate how different funding methods like convertible notes and SAFEs impact a capital structure</t>
  </si>
  <si>
    <t>4.  Make diligence more efficient</t>
  </si>
  <si>
    <r>
      <t xml:space="preserve">Cells in </t>
    </r>
    <r>
      <rPr>
        <sz val="10"/>
        <color rgb="FF0000FF"/>
        <rFont val="Calibri"/>
        <family val="2"/>
      </rPr>
      <t>BLUE</t>
    </r>
    <r>
      <rPr>
        <sz val="10"/>
        <rFont val="Calibri"/>
        <family val="2"/>
      </rPr>
      <t xml:space="preserve"> font are inputs - only enter numbers into these cells.</t>
    </r>
  </si>
  <si>
    <t>Cells in BLACK font are formulas and should not be altered.</t>
  </si>
  <si>
    <r>
      <t xml:space="preserve">Cells in </t>
    </r>
    <r>
      <rPr>
        <sz val="10"/>
        <color rgb="FFFF0000"/>
        <rFont val="Calibri"/>
        <family val="2"/>
      </rPr>
      <t>RED</t>
    </r>
    <r>
      <rPr>
        <sz val="10"/>
        <rFont val="Calibri"/>
        <family val="2"/>
      </rPr>
      <t xml:space="preserve"> font are error checks and will be non-zero if an error is detected.</t>
    </r>
  </si>
  <si>
    <t>Populate the tabs in the following order:</t>
  </si>
  <si>
    <r>
      <t xml:space="preserve">1. Current Cap Table:  </t>
    </r>
    <r>
      <rPr>
        <sz val="10"/>
        <rFont val="Calibri"/>
        <family val="2"/>
      </rPr>
      <t>Enter the names and types of security holders on your current cap table and the number of common/preferred shares held by each.</t>
    </r>
  </si>
  <si>
    <r>
      <t xml:space="preserve">2. Option Grant Ledger:  </t>
    </r>
    <r>
      <rPr>
        <sz val="10"/>
        <rFont val="Calibri"/>
        <family val="2"/>
      </rPr>
      <t>Enter details regarding options granted to employees, advisors, consultants, board members, etc.</t>
    </r>
  </si>
  <si>
    <r>
      <t xml:space="preserve">3. Convertible Securities:  </t>
    </r>
    <r>
      <rPr>
        <sz val="10"/>
        <rFont val="Calibri"/>
        <family val="2"/>
      </rPr>
      <t>Enter details of any SAFEs or convertible notes outstanding.  If you do not have any convertible securities, enter zero for the "Principal".</t>
    </r>
  </si>
  <si>
    <r>
      <t xml:space="preserve">4. Pro Forma Cap Table:  </t>
    </r>
    <r>
      <rPr>
        <sz val="10"/>
        <rFont val="Calibri"/>
        <family val="2"/>
      </rPr>
      <t>Enter details of the next equity financing.</t>
    </r>
  </si>
  <si>
    <t>UPDATE LOG</t>
  </si>
  <si>
    <t>S3 Ventures is the largest venture capital firm focused on Texas. Backed by a philanthropic, multi-billion dollar family for over fifteen years, we empower great entrepreneurs with the commitment to patient capital and true resources required to grow extraordinary, high-impact companies in Business Technology, Consumer Digital Experiences, and Healthcare Technology.</t>
  </si>
  <si>
    <t>&gt;&gt; About S3 Ventures</t>
  </si>
  <si>
    <t>&gt;&gt; Download other helpful resources for entrepreneurs</t>
  </si>
  <si>
    <t xml:space="preserve">&gt;&gt; Subscribe to be notified when we release new/updated resources:  </t>
  </si>
  <si>
    <t>Disclosures</t>
  </si>
  <si>
    <t>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t>
  </si>
  <si>
    <t>https://www.s3vc.com/terms-of-use</t>
  </si>
  <si>
    <t>`</t>
  </si>
  <si>
    <t>CURRENT CAP TABLE</t>
  </si>
  <si>
    <t>Instructions</t>
  </si>
  <si>
    <t>If your company has yet to issue any Preferred Shares, then simply enter '0' for that column.   For simplicity, if you have more than one series of Preferred Shares, enter the total in the single column.</t>
  </si>
  <si>
    <t>Common</t>
  </si>
  <si>
    <t>Preferred</t>
  </si>
  <si>
    <t>Totals</t>
  </si>
  <si>
    <t>Security Holder</t>
  </si>
  <si>
    <t>Type</t>
  </si>
  <si>
    <t>Common 
Shares</t>
  </si>
  <si>
    <t>Options Exercised Into Common Shares</t>
  </si>
  <si>
    <t>Total Common 
Securities</t>
  </si>
  <si>
    <t>%  Common 
Securities</t>
  </si>
  <si>
    <t>Fully Diluted 
Securities</t>
  </si>
  <si>
    <t>% FD</t>
  </si>
  <si>
    <t>Founder #1</t>
  </si>
  <si>
    <t>Founder</t>
  </si>
  <si>
    <t>Founder #2</t>
  </si>
  <si>
    <t>Employee #1</t>
  </si>
  <si>
    <t>Employee</t>
  </si>
  <si>
    <t>Employee #2</t>
  </si>
  <si>
    <t>Employee #3</t>
  </si>
  <si>
    <t>Employee #4</t>
  </si>
  <si>
    <t>Employee #5</t>
  </si>
  <si>
    <t>Employee #6</t>
  </si>
  <si>
    <t>Employee #7</t>
  </si>
  <si>
    <t>Employee #8</t>
  </si>
  <si>
    <t>Advisor / Board Member #1</t>
  </si>
  <si>
    <t>Advisor / Board</t>
  </si>
  <si>
    <t>Advisor / Board Member #2</t>
  </si>
  <si>
    <t>Current Investor #1</t>
  </si>
  <si>
    <t>Current Investor</t>
  </si>
  <si>
    <t>Current Investor #2</t>
  </si>
  <si>
    <t>Current Investor #3</t>
  </si>
  <si>
    <t>Current Investor #4</t>
  </si>
  <si>
    <t>Current Investor #5</t>
  </si>
  <si>
    <t>Total</t>
  </si>
  <si>
    <t>Cap Table Summary</t>
  </si>
  <si>
    <t>Security Holder Type</t>
  </si>
  <si>
    <t>Fully Diluted Securities</t>
  </si>
  <si>
    <t>Definitions</t>
  </si>
  <si>
    <r>
      <rPr>
        <u/>
        <sz val="11"/>
        <rFont val="Calibri"/>
        <family val="2"/>
        <scheme val="minor"/>
      </rPr>
      <t>Common Shares:</t>
    </r>
    <r>
      <rPr>
        <sz val="11"/>
        <rFont val="Calibri"/>
        <family val="2"/>
        <scheme val="minor"/>
      </rPr>
      <t xml:space="preserve"> Stock frequently held by founders or employees.   </t>
    </r>
  </si>
  <si>
    <r>
      <rPr>
        <u/>
        <sz val="11"/>
        <rFont val="Calibri"/>
        <family val="2"/>
        <scheme val="minor"/>
      </rPr>
      <t>Exercised Options:</t>
    </r>
    <r>
      <rPr>
        <sz val="11"/>
        <rFont val="Calibri"/>
        <family val="2"/>
        <scheme val="minor"/>
      </rPr>
      <t xml:space="preserve"> Options that have converted into common shares.</t>
    </r>
  </si>
  <si>
    <r>
      <rPr>
        <u/>
        <sz val="11"/>
        <rFont val="Calibri"/>
        <family val="2"/>
        <scheme val="minor"/>
      </rPr>
      <t>Preferred Shares:</t>
    </r>
    <r>
      <rPr>
        <sz val="11"/>
        <rFont val="Calibri"/>
        <family val="2"/>
        <scheme val="minor"/>
      </rPr>
      <t xml:space="preserve"> Preferred stock has special rights and is commonly issued to investors in new rounds of financing. </t>
    </r>
  </si>
  <si>
    <t>OPTION GRANT LEDGER</t>
  </si>
  <si>
    <t>Option Grant Ledger</t>
  </si>
  <si>
    <t>Options 
Granted</t>
  </si>
  <si>
    <t>Options 
Exercised</t>
  </si>
  <si>
    <t>Options 
Outstanding</t>
  </si>
  <si>
    <t>Grant 
Date</t>
  </si>
  <si>
    <t>Vesting 
Start Date</t>
  </si>
  <si>
    <t>Strike 
Price</t>
  </si>
  <si>
    <t>Vesting Time (Months)</t>
  </si>
  <si>
    <t>Cliff 
(Months)</t>
  </si>
  <si>
    <t>Acceleration?</t>
  </si>
  <si>
    <t>Acceleration 
Type</t>
  </si>
  <si>
    <t>Yes</t>
  </si>
  <si>
    <t>Double Trigger</t>
  </si>
  <si>
    <t>No</t>
  </si>
  <si>
    <t>N/A</t>
  </si>
  <si>
    <t>Options Authorized for Grant</t>
  </si>
  <si>
    <t>% of FD Securities</t>
  </si>
  <si>
    <t>Remaining Available for Grant</t>
  </si>
  <si>
    <t>Total Fully Diluted Securities</t>
  </si>
  <si>
    <r>
      <t>Granted Options:</t>
    </r>
    <r>
      <rPr>
        <sz val="11"/>
        <rFont val="Calibri"/>
        <family val="2"/>
        <scheme val="minor"/>
      </rPr>
      <t xml:space="preserve">  Number of options approved by the board, including both vested and unvested amounts.</t>
    </r>
  </si>
  <si>
    <r>
      <t>Returned Options:</t>
    </r>
    <r>
      <rPr>
        <b/>
        <sz val="11"/>
        <rFont val="Calibri"/>
        <family val="2"/>
        <scheme val="minor"/>
      </rPr>
      <t xml:space="preserve">  </t>
    </r>
    <r>
      <rPr>
        <sz val="11"/>
        <rFont val="Calibri"/>
        <family val="2"/>
        <scheme val="minor"/>
      </rPr>
      <t>Number of options that were granted but then forfeited (often when an employee seperates without exercising the option within the alloted exercise period).</t>
    </r>
  </si>
  <si>
    <r>
      <t>Exercised Options:</t>
    </r>
    <r>
      <rPr>
        <sz val="11"/>
        <rFont val="Calibri"/>
        <family val="2"/>
        <scheme val="minor"/>
      </rPr>
      <t xml:space="preserve">  Number of options exercised and, therefore, converted into common shares.</t>
    </r>
  </si>
  <si>
    <r>
      <t>Outstanding Options:</t>
    </r>
    <r>
      <rPr>
        <sz val="11"/>
        <rFont val="Calibri"/>
        <family val="2"/>
        <scheme val="minor"/>
      </rPr>
      <t xml:space="preserve">  Number of options granted less returned or exercised.</t>
    </r>
  </si>
  <si>
    <t>CONVERTIBLE SECURITIES (SAFEs / CONVERTIBLE NOTES)</t>
  </si>
  <si>
    <t>For SAFEs, enter '0' for Interest Rate.  If the security is uncapped, select "None" from the Cap Type dropdown.</t>
  </si>
  <si>
    <t>Convertible notes may require interest calculations that assume a different number of days in a given year; common variations include 365, 360 (30 days/month), or 366 (leap year).</t>
  </si>
  <si>
    <t>Convertible Groups</t>
  </si>
  <si>
    <t>Group</t>
  </si>
  <si>
    <t>Interest</t>
  </si>
  <si>
    <t>Discount</t>
  </si>
  <si>
    <t>Cap</t>
  </si>
  <si>
    <t>Cap Type</t>
  </si>
  <si>
    <t>Interest Days in Year</t>
  </si>
  <si>
    <t>2019 Notes</t>
  </si>
  <si>
    <t>2020 Notes</t>
  </si>
  <si>
    <t>Convertible Securities Issued</t>
  </si>
  <si>
    <t>Security Unique ID</t>
  </si>
  <si>
    <t>Investor</t>
  </si>
  <si>
    <t>Convertible Group</t>
  </si>
  <si>
    <t>Principal</t>
  </si>
  <si>
    <t>Date of Issuance</t>
  </si>
  <si>
    <t>Interest Rate</t>
  </si>
  <si>
    <t>Interest Days 
in Year</t>
  </si>
  <si>
    <t>PRO FORMA CAP TABLE</t>
  </si>
  <si>
    <t>Next Financing Assumptions</t>
  </si>
  <si>
    <t>Cap Table</t>
  </si>
  <si>
    <t xml:space="preserve">Pre-Financing &amp; </t>
  </si>
  <si>
    <t>Post-Financing</t>
  </si>
  <si>
    <t>Date of Financing</t>
  </si>
  <si>
    <t>Summary</t>
  </si>
  <si>
    <t>Option Pool Expansion</t>
  </si>
  <si>
    <t>Pre-Money Valuation</t>
  </si>
  <si>
    <t>Fully Diluted</t>
  </si>
  <si>
    <t>FD %</t>
  </si>
  <si>
    <t>Option Pool Expansion (prior to financing)</t>
  </si>
  <si>
    <t>Option Pool % of Fully Diluted (after financing)</t>
  </si>
  <si>
    <t>Shares Prior to Financing</t>
  </si>
  <si>
    <t>Share Price</t>
  </si>
  <si>
    <t>New Investor</t>
  </si>
  <si>
    <t>Convertibles</t>
  </si>
  <si>
    <t>New $</t>
  </si>
  <si>
    <t xml:space="preserve">Total </t>
  </si>
  <si>
    <t>New Investor #1</t>
  </si>
  <si>
    <t>New Investor #2</t>
  </si>
  <si>
    <t>Total CASH</t>
  </si>
  <si>
    <t>Total VALUE</t>
  </si>
  <si>
    <t>Post Money Valuation</t>
  </si>
  <si>
    <t>Convertible Security Conversion</t>
  </si>
  <si>
    <t>Security</t>
  </si>
  <si>
    <t>Days</t>
  </si>
  <si>
    <t>Interest Days</t>
  </si>
  <si>
    <t>Conversion</t>
  </si>
  <si>
    <t>Financing</t>
  </si>
  <si>
    <t>Discount Due</t>
  </si>
  <si>
    <t>PF Value /</t>
  </si>
  <si>
    <t>Unique ID</t>
  </si>
  <si>
    <t>Notes Held</t>
  </si>
  <si>
    <t>in Year</t>
  </si>
  <si>
    <t>Rate</t>
  </si>
  <si>
    <t>Accrued</t>
  </si>
  <si>
    <t>P&amp;I</t>
  </si>
  <si>
    <t>Price</t>
  </si>
  <si>
    <t>Shares</t>
  </si>
  <si>
    <t>Value</t>
  </si>
  <si>
    <t>to Cap</t>
  </si>
  <si>
    <t>Cash Invested</t>
  </si>
  <si>
    <t>Pro Forma Cap Table</t>
  </si>
  <si>
    <t>Existing Preferred Pre-Financing</t>
  </si>
  <si>
    <t>Series Y Preferred (New Money)</t>
  </si>
  <si>
    <t>Total Series Y, Y-1, Y-2 Preferred</t>
  </si>
  <si>
    <t>Common Options</t>
  </si>
  <si>
    <t>Total Common</t>
  </si>
  <si>
    <t>% Common</t>
  </si>
  <si>
    <t>Conv Principal</t>
  </si>
  <si>
    <t>Total Series Y, Y-1</t>
  </si>
  <si>
    <t>% of Series</t>
  </si>
  <si>
    <t>% Fully</t>
  </si>
  <si>
    <t>Shareholder</t>
  </si>
  <si>
    <t>Outstanding</t>
  </si>
  <si>
    <t>Securities</t>
  </si>
  <si>
    <t>Preferred Shares</t>
  </si>
  <si>
    <t>Series Y</t>
  </si>
  <si>
    <t>Series Y-1</t>
  </si>
  <si>
    <t>Series Y-2</t>
  </si>
  <si>
    <t>&amp; Y-2 Preferred</t>
  </si>
  <si>
    <t>Y, Y-1, Y-2</t>
  </si>
  <si>
    <t>Diluted</t>
  </si>
  <si>
    <t>Post-Money</t>
  </si>
  <si>
    <t>Capitalization</t>
  </si>
  <si>
    <t>Conversion Price</t>
  </si>
  <si>
    <t>Corrected share price formula (E14) on the Pro Forma Cap Table tab to include existing preferred shares.</t>
  </si>
  <si>
    <t>Corrected common shares formula on the Pro Forma Cap Table (rows D50-D69) tab to include only common shares vs. all common securities.</t>
  </si>
  <si>
    <t xml:space="preserve">Changed convertible security conversion calculations on the Pro Forma Cap Table tab to conform to the Y Combinator definition of post-money SAFE as of 12/2021. </t>
  </si>
  <si>
    <t>https://www.ycombinator.com/documents/</t>
  </si>
  <si>
    <t>v2021.12.15</t>
  </si>
  <si>
    <t>v2021.12.01</t>
  </si>
  <si>
    <t>Cap Type: Pre-Money</t>
  </si>
  <si>
    <t>Cap Type: Post-Money</t>
  </si>
  <si>
    <t>Unallocated Option Pool</t>
  </si>
  <si>
    <t>Common Options Outstanding &amp; Available for Grant</t>
  </si>
  <si>
    <r>
      <rPr>
        <u/>
        <sz val="11"/>
        <rFont val="Calibri"/>
        <family val="2"/>
        <scheme val="minor"/>
      </rPr>
      <t>Common Options Outsanding &amp; Available for Grant:</t>
    </r>
    <r>
      <rPr>
        <sz val="11"/>
        <rFont val="Calibri"/>
        <family val="2"/>
        <scheme val="minor"/>
      </rPr>
      <t xml:space="preserve"> Often issued to employees, board members, and advisors. Provide the right to purchase common shares for a fixed future "strike" price. Option is "outstanding" if it has been "granted" but not "exercised" or "returned".</t>
    </r>
  </si>
  <si>
    <t xml:space="preserve">Options 
Cancelled </t>
  </si>
  <si>
    <t>Pre-Money</t>
  </si>
  <si>
    <t>Series X</t>
  </si>
  <si>
    <t>% Series X</t>
  </si>
  <si>
    <t>Series X Preferred</t>
  </si>
  <si>
    <t>%  Series X
Preferred Shares</t>
  </si>
  <si>
    <t>Series X
Preferred Shares</t>
  </si>
  <si>
    <t>Invested</t>
  </si>
  <si>
    <t>Issue Value</t>
  </si>
  <si>
    <t>$s Invested</t>
  </si>
  <si>
    <t>of Conv. Note</t>
  </si>
  <si>
    <t>Total Securities</t>
  </si>
  <si>
    <t>New $s</t>
  </si>
  <si>
    <t>NOTE: This workbook requires Iterative Calculations to be enabled in Excel</t>
  </si>
  <si>
    <t xml:space="preserve">Navigate to File &gt; Options &gt; Formulas.   Under Calculation Options, make sure the Iterative Calculations checbox is selected. </t>
  </si>
  <si>
    <t>INSTRUCTIONS</t>
  </si>
  <si>
    <t/>
  </si>
  <si>
    <t>The Conversion Price Cap of a Pre-Money or Post-Money Convertible Security is calculated by dividing the Conversion Cap by its respective Capitalization.</t>
  </si>
  <si>
    <t xml:space="preserve">The sole difference between a shadow security and the financing preferred is that the shadow security has an issue price per share (liquidation preference) equal to the shadow security conversion price, rather than the primary security issue price. </t>
  </si>
  <si>
    <t>Each Convertible Security Group converts into a distinct "shadow security" (e.g., Series Y-1, Series Y-2).  A "shadow security" is a class of stock with the same rights as the “financing preferred” (e.g. the Series Y) and votes together with it as a single class.</t>
  </si>
  <si>
    <t>As a result, the liquidation preference for shadow security holders is typically only equal to the principal and interest they originally invested into the converted security, while their ownership from their investment is further increased relative to the dollars invested by the discount or cap.</t>
  </si>
  <si>
    <t>Implied Value</t>
  </si>
  <si>
    <t>1. Enter the key terms of the next financing:  Date, Pre-Money Valuation, and Option Pool Expansion</t>
  </si>
  <si>
    <t>2. List each "New Money " investor and the amount invested.   If a current investor is also contributing new money, be sure the name matches that listed on the Current Cap Table.</t>
  </si>
  <si>
    <t>3. If you added/removed rows for security or option holders in any of the previous tabs, make sure to add/remove the rows in the Convertible Security Conversion table and Pro Forma Cap Table.</t>
  </si>
  <si>
    <t>4. If you added/removed Groups on the Convertible Securities tab, you will need to add/remove the  shadow security columns in this table.</t>
  </si>
  <si>
    <t>1. If you do not have any convertible securities (SAFEs or Notes), then simply clear all the blue cells.</t>
  </si>
  <si>
    <t>2. Group convertible securities based on type (SAFE / Note) and terms (interest / discount / cap/ cap type).  Add/remove rows for Groups as needed.</t>
  </si>
  <si>
    <t>3. Insert a separate row and Unique ID for each Convertible Security issued. If an Investor is listed as Security Holder on other tabs, ensure that the names match exactly.</t>
  </si>
  <si>
    <t>1. Insert a seperate row for each Option Grant, grouped by the Security Holder's Type.  Security Holder names should match those used on other tabs.  Security Holders may appear on multiple rows if they received multiple grants.</t>
  </si>
  <si>
    <t xml:space="preserve">2. For each Grant, enter the number of Options Granted, Returned, and Exercised.  </t>
  </si>
  <si>
    <t>3. Enter the total number of Options Authorized for Grant.</t>
  </si>
  <si>
    <r>
      <t xml:space="preserve">1. Insert rows and </t>
    </r>
    <r>
      <rPr>
        <u/>
        <sz val="11"/>
        <rFont val="Calibri"/>
        <family val="2"/>
        <scheme val="minor"/>
      </rPr>
      <t>unique</t>
    </r>
    <r>
      <rPr>
        <i/>
        <sz val="11"/>
        <rFont val="Calibri"/>
        <family val="2"/>
        <scheme val="minor"/>
      </rPr>
      <t xml:space="preserve"> </t>
    </r>
    <r>
      <rPr>
        <sz val="11"/>
        <rFont val="Calibri"/>
        <family val="2"/>
        <scheme val="minor"/>
      </rPr>
      <t>names for each Security Holder.  Group rows by Type.   Security Holder names must match those listed on the other tabs.</t>
    </r>
  </si>
  <si>
    <t>2. Enter the number of Common Shares (include any Warrants here) and Preferred Shares held by each Security Holder.  Options will be entered on the Option Grant Ledger tab.</t>
  </si>
  <si>
    <t>v2022.03.30</t>
  </si>
  <si>
    <t>Include Option Pool Expansion in Pre-Money Capitalization?</t>
  </si>
  <si>
    <t>Include Option Pool Expansion in Post-Money Capitalization?</t>
  </si>
  <si>
    <r>
      <rPr>
        <b/>
        <sz val="11"/>
        <rFont val="Calibri"/>
        <family val="2"/>
        <scheme val="minor"/>
      </rPr>
      <t>For a Pre-Money Cap</t>
    </r>
    <r>
      <rPr>
        <sz val="11"/>
        <rFont val="Calibri"/>
        <family val="2"/>
        <scheme val="minor"/>
      </rPr>
      <t xml:space="preserve">, the Capitalization includes all securities prior to conversion of outstanding Convertible Securities and New Money financing; the Option Pool Expansion is </t>
    </r>
    <r>
      <rPr>
        <i/>
        <sz val="11"/>
        <rFont val="Calibri"/>
        <family val="2"/>
        <scheme val="minor"/>
      </rPr>
      <t>included</t>
    </r>
    <r>
      <rPr>
        <sz val="11"/>
        <rFont val="Calibri"/>
        <family val="2"/>
        <scheme val="minor"/>
      </rPr>
      <t xml:space="preserve"> by default, but it can be excluded via the toggle.</t>
    </r>
  </si>
  <si>
    <t xml:space="preserve">Post-Money vs. Pre-Money Cap Price Calculations: </t>
  </si>
  <si>
    <r>
      <rPr>
        <b/>
        <sz val="11"/>
        <rFont val="Calibri"/>
        <family val="2"/>
        <scheme val="minor"/>
      </rPr>
      <t>For a Post-Money Cap</t>
    </r>
    <r>
      <rPr>
        <sz val="11"/>
        <rFont val="Calibri"/>
        <family val="2"/>
        <scheme val="minor"/>
      </rPr>
      <t xml:space="preserve">, the Capitalization includes all existing securities, including the new Shadow Securities" (i.e., Series Y-1, Y-2), and </t>
    </r>
    <r>
      <rPr>
        <i/>
        <sz val="11"/>
        <rFont val="Calibri"/>
        <family val="2"/>
        <scheme val="minor"/>
      </rPr>
      <t>excludes</t>
    </r>
    <r>
      <rPr>
        <sz val="11"/>
        <rFont val="Calibri"/>
        <family val="2"/>
        <scheme val="minor"/>
      </rPr>
      <t xml:space="preserve"> new shares issued in exchange for New Money (i.e., Series Y).  The Option Pool Expansion is excluded by default (per standard YC Post-Money SAFE) but can be included via the toggle.</t>
    </r>
  </si>
  <si>
    <t xml:space="preserve">Added instructions for adding/removing rows in the Convertible Securities Conversion Table and the Pro Forma Cap Table
</t>
  </si>
  <si>
    <t xml:space="preserve">Added instructions detailing the difference between Pre-Money and Post-Money Cap Price Calculations
</t>
  </si>
  <si>
    <t>Added a toggle to include / exclude the Option Pool Expansion for Pre and Post Money Capitalizations in the Convertible Security Conversion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</si>
</sst>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quot;$&quot;* #,##0.0000_);_(&quot;$&quot;* \(#,##0.0000\);_(&quot;$&quot;* &quot;-&quot;??_);_(@_)"/>
    <numFmt numFmtId="168" formatCode="_(&quot;$&quot;* #,##0.000_);_(&quot;$&quot;* \(#,##0.000\);_(&quot;$&quot;* &quot;-&quot;???_);_(@_)"/>
    <numFmt numFmtId="169" formatCode="&quot;$&quot;#,##0"/>
    <numFmt numFmtId="170" formatCode="&quot;$&quot;#,##0.00"/>
    <numFmt numFmtId="171" formatCode="_(&quot;$&quot;* #,##0.00_);_(&quot;$&quot;* \(#,##0.00\);_(&quot;$&quot;* &quot;-&quot;_);_(@_)"/>
    <numFmt numFmtId="172" formatCode="0.00\x"/>
    <numFmt numFmtId="173" formatCode="_(* #,##0.0000_);_(* \(#,##0.0000\);_(* &quot;-&quot;??_);_(@_)"/>
    <numFmt numFmtId="174" formatCode="&quot;$&quot;#,##0.0"/>
    <numFmt numFmtId="175" formatCode="_(&quot;$&quot;* #,##0.0000_);_(&quot;$&quot;* \(#,##0.0000\);_(&quot;$&quot;* &quot;-&quot;_);_(@_)"/>
    <numFmt numFmtId="176" formatCode="&quot;$&quot;#,##0.0000"/>
  </numFmts>
  <fonts count="46" x14ac:knownFonts="1">
    <font>
      <sz val="10"/>
      <name val="Verdana"/>
      <family val="2"/>
    </font>
    <font>
      <sz val="11"/>
      <color theme="1"/>
      <name val="Calibri"/>
      <family val="2"/>
      <scheme val="minor"/>
    </font>
    <font>
      <sz val="11"/>
      <color theme="1"/>
      <name val="Calibri"/>
      <family val="2"/>
      <scheme val="minor"/>
    </font>
    <font>
      <sz val="10"/>
      <name val="Verdana"/>
      <family val="2"/>
    </font>
    <font>
      <sz val="10"/>
      <color theme="1"/>
      <name val="Arial"/>
      <family val="2"/>
    </font>
    <font>
      <b/>
      <sz val="11"/>
      <color theme="0"/>
      <name val="Calibri"/>
      <family val="2"/>
      <scheme val="minor"/>
    </font>
    <font>
      <sz val="11"/>
      <color theme="0"/>
      <name val="Calibri"/>
      <family val="2"/>
      <scheme val="minor"/>
    </font>
    <font>
      <b/>
      <sz val="11"/>
      <name val="Calibri"/>
      <family val="2"/>
      <scheme val="minor"/>
    </font>
    <font>
      <sz val="10"/>
      <name val="Calibri"/>
      <family val="2"/>
      <scheme val="minor"/>
    </font>
    <font>
      <sz val="11"/>
      <name val="Calibri"/>
      <family val="2"/>
      <scheme val="minor"/>
    </font>
    <font>
      <sz val="11"/>
      <color rgb="FF0000FF"/>
      <name val="Calibri"/>
      <family val="2"/>
      <scheme val="minor"/>
    </font>
    <font>
      <sz val="11"/>
      <color rgb="FF000000"/>
      <name val="Calibri"/>
      <family val="2"/>
      <scheme val="minor"/>
    </font>
    <font>
      <i/>
      <sz val="11"/>
      <name val="Calibri"/>
      <family val="2"/>
      <scheme val="minor"/>
    </font>
    <font>
      <b/>
      <sz val="11"/>
      <color rgb="FF000000"/>
      <name val="Calibri"/>
      <family val="2"/>
      <scheme val="minor"/>
    </font>
    <font>
      <sz val="12"/>
      <name val="Calibri"/>
      <family val="2"/>
      <scheme val="minor"/>
    </font>
    <font>
      <b/>
      <sz val="12"/>
      <name val="Calibri"/>
      <family val="2"/>
      <scheme val="minor"/>
    </font>
    <font>
      <b/>
      <sz val="11"/>
      <color rgb="FF0000FF"/>
      <name val="Calibri"/>
      <family val="2"/>
      <scheme val="minor"/>
    </font>
    <font>
      <u/>
      <sz val="11"/>
      <name val="Calibri"/>
      <family val="2"/>
      <scheme val="minor"/>
    </font>
    <font>
      <b/>
      <i/>
      <sz val="10"/>
      <name val="Verdana"/>
      <family val="2"/>
    </font>
    <font>
      <sz val="24"/>
      <name val="Calibri"/>
      <family val="2"/>
      <scheme val="minor"/>
    </font>
    <font>
      <sz val="11"/>
      <color rgb="FFFF0000"/>
      <name val="Calibri"/>
      <family val="2"/>
      <scheme val="minor"/>
    </font>
    <font>
      <sz val="11"/>
      <color rgb="FF0000FF"/>
      <name val="Calibri"/>
      <family val="2"/>
    </font>
    <font>
      <sz val="10"/>
      <color rgb="FFFF0000"/>
      <name val="Calibri"/>
      <family val="2"/>
      <scheme val="minor"/>
    </font>
    <font>
      <sz val="12"/>
      <color theme="1"/>
      <name val="Calibri"/>
      <family val="2"/>
      <scheme val="minor"/>
    </font>
    <font>
      <u/>
      <sz val="12"/>
      <color theme="10"/>
      <name val="Calibri"/>
      <family val="2"/>
      <scheme val="minor"/>
    </font>
    <font>
      <b/>
      <i/>
      <sz val="14"/>
      <name val="Verdana"/>
      <family val="2"/>
    </font>
    <font>
      <i/>
      <sz val="11"/>
      <name val="Calibri"/>
      <family val="2"/>
    </font>
    <font>
      <u/>
      <sz val="10"/>
      <color theme="2"/>
      <name val="Calibri"/>
      <family val="2"/>
      <scheme val="minor"/>
    </font>
    <font>
      <u/>
      <sz val="10"/>
      <color theme="2"/>
      <name val="Oswald"/>
      <family val="2"/>
      <scheme val="major"/>
    </font>
    <font>
      <i/>
      <sz val="10"/>
      <name val="Calibri"/>
      <family val="2"/>
    </font>
    <font>
      <b/>
      <sz val="14"/>
      <color theme="0"/>
      <name val="Calibri"/>
      <family val="2"/>
    </font>
    <font>
      <sz val="14"/>
      <color theme="0"/>
      <name val="Calibri"/>
      <family val="2"/>
    </font>
    <font>
      <b/>
      <i/>
      <sz val="10"/>
      <name val="Calibri"/>
      <family val="2"/>
      <scheme val="minor"/>
    </font>
    <font>
      <i/>
      <u/>
      <sz val="11"/>
      <color theme="2"/>
      <name val="Calibri"/>
      <family val="2"/>
      <scheme val="minor"/>
    </font>
    <font>
      <b/>
      <i/>
      <sz val="12"/>
      <name val="Calibri"/>
      <family val="2"/>
      <scheme val="minor"/>
    </font>
    <font>
      <b/>
      <sz val="10"/>
      <name val="Calibri"/>
      <family val="2"/>
    </font>
    <font>
      <sz val="10"/>
      <name val="Calibri"/>
      <family val="2"/>
    </font>
    <font>
      <sz val="10"/>
      <color rgb="FF0000FF"/>
      <name val="Calibri"/>
      <family val="2"/>
    </font>
    <font>
      <i/>
      <sz val="11"/>
      <color rgb="FF000000"/>
      <name val="Calibri"/>
      <family val="2"/>
      <scheme val="minor"/>
    </font>
    <font>
      <b/>
      <sz val="11"/>
      <color rgb="FFFF0000"/>
      <name val="Calibri"/>
      <family val="2"/>
      <scheme val="minor"/>
    </font>
    <font>
      <sz val="10"/>
      <color rgb="FFFF0000"/>
      <name val="Calibri"/>
      <family val="2"/>
    </font>
    <font>
      <sz val="12"/>
      <color rgb="FF0000FF"/>
      <name val="Calibri"/>
      <family val="2"/>
      <scheme val="minor"/>
    </font>
    <font>
      <b/>
      <sz val="10"/>
      <name val="Calibri"/>
      <family val="2"/>
      <scheme val="minor"/>
    </font>
    <font>
      <b/>
      <u/>
      <sz val="10"/>
      <name val="Calibri"/>
      <family val="2"/>
      <scheme val="minor"/>
    </font>
    <font>
      <i/>
      <sz val="10"/>
      <color theme="1"/>
      <name val="Calibri"/>
      <family val="2"/>
      <scheme val="minor"/>
    </font>
    <font>
      <u/>
      <sz val="10"/>
      <color theme="1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3"/>
        <bgColor indexed="64"/>
      </patternFill>
    </fill>
    <fill>
      <patternFill patternType="solid">
        <fgColor theme="0" tint="-4.9989318521683403E-2"/>
        <bgColor indexed="64"/>
      </patternFill>
    </fill>
    <fill>
      <patternFill patternType="solid">
        <fgColor theme="4"/>
        <bgColor indexed="64"/>
      </patternFill>
    </fill>
    <fill>
      <patternFill patternType="solid">
        <fgColor theme="6"/>
        <bgColor indexed="64"/>
      </patternFill>
    </fill>
    <fill>
      <patternFill patternType="solid">
        <fgColor theme="0" tint="-0.14999847407452621"/>
        <bgColor indexed="64"/>
      </patternFill>
    </fill>
    <fill>
      <patternFill patternType="solid">
        <fgColor rgb="FFFFFFFF"/>
        <bgColor indexed="64"/>
      </patternFill>
    </fill>
    <fill>
      <patternFill patternType="solid">
        <fgColor rgb="FF0094B3"/>
        <bgColor indexed="64"/>
      </patternFill>
    </fill>
    <fill>
      <patternFill patternType="solid">
        <fgColor theme="2" tint="-0.249977111117893"/>
        <bgColor indexed="64"/>
      </patternFill>
    </fill>
    <fill>
      <patternFill patternType="solid">
        <fgColor theme="1"/>
        <bgColor indexed="64"/>
      </patternFill>
    </fill>
    <fill>
      <patternFill patternType="solid">
        <fgColor rgb="FFFFFFE7"/>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indexed="64"/>
      </right>
      <top style="medium">
        <color auto="1"/>
      </top>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4"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0" fontId="23" fillId="0" borderId="0"/>
    <xf numFmtId="9" fontId="2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3" fillId="0" borderId="0" applyFont="0" applyFill="0" applyBorder="0" applyAlignment="0" applyProtection="0"/>
    <xf numFmtId="0" fontId="24" fillId="0" borderId="0" applyNumberFormat="0" applyFill="0" applyBorder="0" applyAlignment="0" applyProtection="0"/>
  </cellStyleXfs>
  <cellXfs count="449">
    <xf numFmtId="0" fontId="0" fillId="0" borderId="0" xfId="0"/>
    <xf numFmtId="0" fontId="8" fillId="0" borderId="0" xfId="0" applyFont="1" applyFill="1"/>
    <xf numFmtId="0" fontId="8" fillId="0" borderId="0" xfId="0" applyFont="1"/>
    <xf numFmtId="0" fontId="5" fillId="0" borderId="0" xfId="0" applyFont="1" applyFill="1" applyBorder="1"/>
    <xf numFmtId="0" fontId="8" fillId="0" borderId="0" xfId="0" applyFont="1" applyFill="1" applyBorder="1"/>
    <xf numFmtId="0" fontId="8" fillId="0" borderId="0" xfId="0" applyFont="1" applyBorder="1"/>
    <xf numFmtId="0" fontId="9" fillId="0" borderId="10" xfId="0" applyFont="1" applyFill="1" applyBorder="1"/>
    <xf numFmtId="0" fontId="5" fillId="0" borderId="0" xfId="0" applyFont="1" applyFill="1" applyBorder="1" applyAlignment="1">
      <alignment horizontal="centerContinuous"/>
    </xf>
    <xf numFmtId="14" fontId="10" fillId="0" borderId="6" xfId="0" applyNumberFormat="1" applyFont="1" applyFill="1" applyBorder="1" applyAlignment="1">
      <alignment horizontal="right"/>
    </xf>
    <xf numFmtId="0" fontId="9" fillId="0" borderId="0" xfId="0" applyFont="1" applyFill="1" applyBorder="1"/>
    <xf numFmtId="0" fontId="9" fillId="0" borderId="0" xfId="0" applyFont="1" applyBorder="1"/>
    <xf numFmtId="42" fontId="10" fillId="0" borderId="6" xfId="0" applyNumberFormat="1" applyFont="1" applyFill="1" applyBorder="1"/>
    <xf numFmtId="41" fontId="10" fillId="0" borderId="6" xfId="0" applyNumberFormat="1" applyFont="1" applyFill="1" applyBorder="1"/>
    <xf numFmtId="0" fontId="9" fillId="0" borderId="11" xfId="0" applyFont="1" applyBorder="1"/>
    <xf numFmtId="164" fontId="9" fillId="0" borderId="0" xfId="0" applyNumberFormat="1" applyFont="1" applyBorder="1"/>
    <xf numFmtId="165" fontId="9" fillId="0" borderId="2" xfId="0" applyNumberFormat="1" applyFont="1" applyBorder="1" applyAlignment="1">
      <alignment horizontal="center"/>
    </xf>
    <xf numFmtId="165" fontId="9" fillId="0" borderId="6" xfId="0" applyNumberFormat="1" applyFont="1" applyBorder="1" applyAlignment="1">
      <alignment horizontal="center"/>
    </xf>
    <xf numFmtId="165" fontId="9" fillId="0" borderId="6" xfId="0" applyNumberFormat="1" applyFont="1" applyBorder="1"/>
    <xf numFmtId="0" fontId="9" fillId="0" borderId="7" xfId="0" applyFont="1" applyBorder="1"/>
    <xf numFmtId="164" fontId="9" fillId="0" borderId="6" xfId="0" applyNumberFormat="1" applyFont="1" applyFill="1" applyBorder="1"/>
    <xf numFmtId="0" fontId="7" fillId="0" borderId="4" xfId="0" applyFont="1" applyFill="1" applyBorder="1"/>
    <xf numFmtId="42" fontId="9" fillId="0" borderId="0" xfId="0" applyNumberFormat="1" applyFont="1" applyBorder="1"/>
    <xf numFmtId="0" fontId="9" fillId="0" borderId="0" xfId="0" applyFont="1"/>
    <xf numFmtId="171" fontId="9" fillId="0" borderId="0" xfId="0" applyNumberFormat="1" applyFont="1" applyBorder="1"/>
    <xf numFmtId="164" fontId="11" fillId="0" borderId="0" xfId="1" applyNumberFormat="1" applyFont="1" applyFill="1" applyBorder="1" applyAlignment="1">
      <alignment horizontal="left" wrapText="1" readingOrder="1"/>
    </xf>
    <xf numFmtId="165" fontId="9" fillId="0" borderId="0" xfId="2" applyNumberFormat="1" applyFont="1" applyFill="1" applyBorder="1" applyAlignment="1">
      <alignment horizontal="center"/>
    </xf>
    <xf numFmtId="172" fontId="9" fillId="0" borderId="6" xfId="0" applyNumberFormat="1" applyFont="1" applyBorder="1" applyAlignment="1">
      <alignment horizontal="center"/>
    </xf>
    <xf numFmtId="0" fontId="9" fillId="0" borderId="3" xfId="0" applyFont="1" applyFill="1" applyBorder="1"/>
    <xf numFmtId="42" fontId="9" fillId="0" borderId="0" xfId="0" applyNumberFormat="1" applyFont="1" applyFill="1" applyBorder="1"/>
    <xf numFmtId="0" fontId="10" fillId="0" borderId="10" xfId="0" applyFont="1" applyFill="1" applyBorder="1"/>
    <xf numFmtId="0" fontId="6" fillId="0" borderId="0" xfId="0" applyFont="1" applyFill="1" applyBorder="1" applyAlignment="1">
      <alignment horizontal="center" vertical="center" wrapText="1"/>
    </xf>
    <xf numFmtId="169" fontId="9" fillId="0" borderId="0" xfId="0" applyNumberFormat="1" applyFont="1" applyFill="1" applyBorder="1" applyAlignment="1">
      <alignment horizontal="right"/>
    </xf>
    <xf numFmtId="0" fontId="9" fillId="0" borderId="0" xfId="0" applyFont="1" applyFill="1"/>
    <xf numFmtId="0" fontId="7" fillId="3" borderId="14"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42" fontId="11" fillId="0" borderId="0" xfId="1" applyNumberFormat="1" applyFont="1" applyFill="1" applyBorder="1" applyAlignment="1">
      <alignment horizontal="left" wrapText="1" readingOrder="1"/>
    </xf>
    <xf numFmtId="0" fontId="14" fillId="0" borderId="0" xfId="0" applyFont="1"/>
    <xf numFmtId="14" fontId="10" fillId="0" borderId="0" xfId="0" applyNumberFormat="1" applyFont="1" applyBorder="1" applyAlignment="1">
      <alignment horizontal="center" vertical="center"/>
    </xf>
    <xf numFmtId="165" fontId="10" fillId="0" borderId="0" xfId="2" applyNumberFormat="1" applyFont="1" applyFill="1" applyBorder="1" applyAlignment="1">
      <alignment horizontal="center"/>
    </xf>
    <xf numFmtId="42" fontId="9" fillId="0" borderId="0" xfId="0" applyNumberFormat="1" applyFont="1" applyBorder="1" applyAlignment="1">
      <alignment horizontal="right"/>
    </xf>
    <xf numFmtId="169" fontId="9" fillId="0" borderId="0" xfId="0" applyNumberFormat="1" applyFont="1"/>
    <xf numFmtId="170" fontId="9" fillId="0" borderId="0" xfId="0" applyNumberFormat="1" applyFont="1"/>
    <xf numFmtId="0" fontId="14" fillId="0" borderId="0" xfId="0" applyFont="1" applyBorder="1"/>
    <xf numFmtId="0" fontId="10" fillId="0" borderId="0" xfId="0" applyFont="1" applyFill="1" applyBorder="1"/>
    <xf numFmtId="0" fontId="12" fillId="0" borderId="0" xfId="0" applyFont="1" applyFill="1" applyBorder="1"/>
    <xf numFmtId="0" fontId="14" fillId="0" borderId="0" xfId="0" applyFont="1" applyFill="1"/>
    <xf numFmtId="0" fontId="9" fillId="0" borderId="0" xfId="0" applyFont="1" applyBorder="1" applyAlignment="1"/>
    <xf numFmtId="0" fontId="14" fillId="0" borderId="0" xfId="0" applyFont="1" applyBorder="1" applyAlignment="1"/>
    <xf numFmtId="0" fontId="15" fillId="0" borderId="0" xfId="0" applyFont="1" applyFill="1" applyBorder="1"/>
    <xf numFmtId="0" fontId="7" fillId="3" borderId="4" xfId="0" applyFont="1" applyFill="1" applyBorder="1" applyAlignment="1">
      <alignment horizontal="center" vertical="center" wrapText="1"/>
    </xf>
    <xf numFmtId="42" fontId="10" fillId="0" borderId="0" xfId="0" applyNumberFormat="1" applyFont="1" applyBorder="1" applyAlignment="1">
      <alignment horizontal="center"/>
    </xf>
    <xf numFmtId="169" fontId="10" fillId="0" borderId="0" xfId="0" applyNumberFormat="1" applyFont="1" applyBorder="1" applyAlignment="1">
      <alignment horizontal="center"/>
    </xf>
    <xf numFmtId="169" fontId="10" fillId="0" borderId="0" xfId="0" applyNumberFormat="1" applyFont="1" applyFill="1" applyBorder="1" applyAlignment="1">
      <alignment horizontal="center"/>
    </xf>
    <xf numFmtId="0" fontId="9" fillId="0" borderId="4" xfId="0" applyFont="1" applyFill="1" applyBorder="1"/>
    <xf numFmtId="166" fontId="9" fillId="0" borderId="0" xfId="8" applyNumberFormat="1" applyFont="1" applyFill="1" applyBorder="1"/>
    <xf numFmtId="164" fontId="9" fillId="0" borderId="0" xfId="1" applyNumberFormat="1" applyFont="1" applyFill="1" applyBorder="1"/>
    <xf numFmtId="0" fontId="5" fillId="0" borderId="0" xfId="0" applyFont="1" applyFill="1" applyBorder="1" applyAlignment="1">
      <alignment horizontal="center"/>
    </xf>
    <xf numFmtId="164" fontId="13" fillId="0" borderId="0" xfId="1" applyNumberFormat="1" applyFont="1" applyFill="1" applyBorder="1" applyAlignment="1">
      <alignment horizontal="left" wrapText="1" readingOrder="1"/>
    </xf>
    <xf numFmtId="164" fontId="9" fillId="0" borderId="2" xfId="0" applyNumberFormat="1" applyFont="1" applyBorder="1"/>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3" xfId="0" applyFont="1" applyFill="1" applyBorder="1" applyAlignment="1">
      <alignment vertical="center"/>
    </xf>
    <xf numFmtId="9" fontId="7" fillId="3" borderId="5" xfId="2" applyFont="1" applyFill="1" applyBorder="1" applyAlignment="1">
      <alignment horizontal="center" vertical="center" wrapText="1"/>
    </xf>
    <xf numFmtId="42" fontId="9" fillId="0" borderId="6" xfId="0" applyNumberFormat="1" applyFont="1" applyBorder="1" applyAlignment="1">
      <alignment horizontal="right"/>
    </xf>
    <xf numFmtId="0" fontId="7" fillId="3" borderId="3" xfId="0" applyFont="1" applyFill="1" applyBorder="1" applyAlignment="1">
      <alignment horizontal="left" vertical="center"/>
    </xf>
    <xf numFmtId="0" fontId="9" fillId="0" borderId="10" xfId="0" applyFont="1" applyBorder="1"/>
    <xf numFmtId="0" fontId="18" fillId="2" borderId="0" xfId="0" applyFont="1" applyFill="1" applyBorder="1" applyAlignment="1"/>
    <xf numFmtId="37" fontId="10" fillId="0" borderId="0" xfId="0" applyNumberFormat="1" applyFont="1" applyBorder="1" applyAlignment="1">
      <alignment horizontal="center"/>
    </xf>
    <xf numFmtId="37" fontId="9" fillId="0" borderId="0" xfId="0" applyNumberFormat="1" applyFont="1" applyBorder="1" applyAlignment="1">
      <alignment horizontal="center"/>
    </xf>
    <xf numFmtId="0" fontId="6" fillId="0" borderId="0" xfId="0" applyFont="1" applyFill="1" applyAlignment="1">
      <alignment horizontal="centerContinuous"/>
    </xf>
    <xf numFmtId="0" fontId="7" fillId="0" borderId="0" xfId="0" applyFont="1" applyFill="1" applyBorder="1"/>
    <xf numFmtId="0" fontId="7" fillId="0" borderId="1" xfId="0" applyFont="1" applyBorder="1" applyAlignment="1"/>
    <xf numFmtId="0" fontId="7" fillId="0" borderId="15" xfId="0" applyFont="1" applyBorder="1" applyAlignment="1"/>
    <xf numFmtId="0" fontId="7" fillId="0" borderId="15" xfId="0" applyFont="1" applyFill="1" applyBorder="1"/>
    <xf numFmtId="0" fontId="7" fillId="0" borderId="10" xfId="0" applyFont="1" applyBorder="1" applyAlignment="1"/>
    <xf numFmtId="0" fontId="7" fillId="0" borderId="0" xfId="0" applyFont="1" applyBorder="1" applyAlignment="1"/>
    <xf numFmtId="0" fontId="7" fillId="0" borderId="3" xfId="0" applyFont="1" applyBorder="1" applyAlignment="1"/>
    <xf numFmtId="0" fontId="7" fillId="0" borderId="4" xfId="0" applyFont="1" applyBorder="1" applyAlignment="1"/>
    <xf numFmtId="164" fontId="9" fillId="0" borderId="0" xfId="0" applyNumberFormat="1" applyFont="1"/>
    <xf numFmtId="169" fontId="20" fillId="0" borderId="0" xfId="0" applyNumberFormat="1" applyFont="1" applyFill="1" applyBorder="1" applyAlignment="1">
      <alignment horizontal="right"/>
    </xf>
    <xf numFmtId="0" fontId="20" fillId="0" borderId="0" xfId="0" applyFont="1"/>
    <xf numFmtId="0" fontId="22" fillId="0" borderId="0" xfId="0" applyFont="1"/>
    <xf numFmtId="164" fontId="10" fillId="0" borderId="0" xfId="1" applyNumberFormat="1" applyFont="1" applyFill="1" applyBorder="1" applyAlignment="1">
      <alignment readingOrder="1"/>
    </xf>
    <xf numFmtId="37" fontId="16" fillId="0" borderId="2" xfId="0" applyNumberFormat="1" applyFont="1" applyBorder="1" applyAlignment="1">
      <alignment horizontal="center"/>
    </xf>
    <xf numFmtId="37" fontId="7" fillId="0" borderId="6" xfId="0" applyNumberFormat="1" applyFont="1" applyBorder="1" applyAlignment="1">
      <alignment horizontal="center"/>
    </xf>
    <xf numFmtId="37" fontId="7" fillId="0" borderId="5" xfId="0" applyNumberFormat="1" applyFont="1" applyBorder="1" applyAlignment="1">
      <alignment horizontal="center"/>
    </xf>
    <xf numFmtId="164" fontId="9" fillId="0" borderId="7" xfId="0" applyNumberFormat="1" applyFont="1" applyBorder="1"/>
    <xf numFmtId="164" fontId="9" fillId="0" borderId="14" xfId="0" applyNumberFormat="1" applyFont="1" applyBorder="1"/>
    <xf numFmtId="171" fontId="9" fillId="0" borderId="0" xfId="0" applyNumberFormat="1" applyFont="1" applyBorder="1" applyAlignment="1">
      <alignment horizontal="right"/>
    </xf>
    <xf numFmtId="0" fontId="5" fillId="4" borderId="1" xfId="0" applyFont="1" applyFill="1" applyBorder="1" applyAlignment="1">
      <alignment horizontal="centerContinuous" vertical="center"/>
    </xf>
    <xf numFmtId="0" fontId="5" fillId="4" borderId="15" xfId="0" applyFont="1" applyFill="1" applyBorder="1" applyAlignment="1">
      <alignment horizontal="centerContinuous" vertical="center"/>
    </xf>
    <xf numFmtId="0" fontId="5" fillId="4" borderId="15" xfId="0" applyFont="1" applyFill="1" applyBorder="1" applyAlignment="1">
      <alignment horizontal="centerContinuous"/>
    </xf>
    <xf numFmtId="0" fontId="5" fillId="4" borderId="2" xfId="0" applyFont="1" applyFill="1" applyBorder="1" applyAlignment="1">
      <alignment horizontal="centerContinuous"/>
    </xf>
    <xf numFmtId="0" fontId="5" fillId="4" borderId="8" xfId="0" applyFont="1" applyFill="1" applyBorder="1" applyAlignment="1">
      <alignment horizontal="centerContinuous"/>
    </xf>
    <xf numFmtId="0" fontId="5" fillId="4" borderId="12" xfId="0" applyFont="1" applyFill="1" applyBorder="1" applyAlignment="1">
      <alignment horizontal="centerContinuous"/>
    </xf>
    <xf numFmtId="0" fontId="5" fillId="4" borderId="9" xfId="0" applyFont="1" applyFill="1" applyBorder="1" applyAlignment="1">
      <alignment horizontal="centerContinuous"/>
    </xf>
    <xf numFmtId="0" fontId="9" fillId="0" borderId="6" xfId="0" applyFont="1" applyFill="1" applyBorder="1"/>
    <xf numFmtId="0" fontId="9" fillId="0" borderId="5" xfId="0" applyFont="1" applyFill="1" applyBorder="1"/>
    <xf numFmtId="165" fontId="9" fillId="0" borderId="0" xfId="0" applyNumberFormat="1" applyFont="1" applyBorder="1"/>
    <xf numFmtId="165" fontId="7" fillId="0" borderId="0" xfId="0" applyNumberFormat="1" applyFont="1" applyBorder="1"/>
    <xf numFmtId="164" fontId="9" fillId="0" borderId="0" xfId="1" applyNumberFormat="1" applyFont="1" applyFill="1" applyBorder="1" applyAlignment="1">
      <alignment horizontal="left" wrapText="1" readingOrder="1"/>
    </xf>
    <xf numFmtId="0" fontId="7" fillId="0" borderId="0" xfId="0" applyFont="1" applyFill="1" applyBorder="1" applyAlignment="1">
      <alignment horizontal="center" wrapText="1"/>
    </xf>
    <xf numFmtId="0" fontId="6" fillId="4" borderId="15" xfId="0" applyFont="1" applyFill="1" applyBorder="1" applyAlignment="1">
      <alignment horizontal="centerContinuous" vertical="center"/>
    </xf>
    <xf numFmtId="0" fontId="6" fillId="4" borderId="2" xfId="0" applyFont="1" applyFill="1" applyBorder="1" applyAlignment="1">
      <alignment horizontal="centerContinuous" vertical="center"/>
    </xf>
    <xf numFmtId="0" fontId="12" fillId="0" borderId="10" xfId="0" applyFont="1" applyBorder="1" applyAlignment="1">
      <alignment horizontal="left" indent="1"/>
    </xf>
    <xf numFmtId="165" fontId="12" fillId="0" borderId="6" xfId="0" applyNumberFormat="1" applyFont="1" applyBorder="1" applyAlignment="1">
      <alignment horizontal="center"/>
    </xf>
    <xf numFmtId="0" fontId="8" fillId="0" borderId="2" xfId="0" applyFont="1" applyFill="1" applyBorder="1"/>
    <xf numFmtId="0" fontId="8" fillId="0" borderId="6" xfId="0" applyFont="1" applyFill="1" applyBorder="1"/>
    <xf numFmtId="164" fontId="9" fillId="0" borderId="0" xfId="0" applyNumberFormat="1" applyFont="1" applyBorder="1" applyAlignment="1"/>
    <xf numFmtId="164" fontId="9" fillId="0" borderId="0" xfId="0" applyNumberFormat="1" applyFont="1" applyFill="1"/>
    <xf numFmtId="42" fontId="9" fillId="0" borderId="0" xfId="0" applyNumberFormat="1" applyFont="1"/>
    <xf numFmtId="44" fontId="9" fillId="0" borderId="0" xfId="0" applyNumberFormat="1" applyFont="1"/>
    <xf numFmtId="0" fontId="5" fillId="4" borderId="11" xfId="0" applyFont="1" applyFill="1" applyBorder="1" applyAlignment="1">
      <alignment horizontal="centerContinuous"/>
    </xf>
    <xf numFmtId="0" fontId="25" fillId="2" borderId="0" xfId="0" applyFont="1" applyFill="1" applyBorder="1" applyAlignment="1"/>
    <xf numFmtId="0" fontId="10" fillId="0" borderId="0" xfId="0" applyFont="1" applyFill="1" applyBorder="1" applyAlignment="1">
      <alignment horizontal="center"/>
    </xf>
    <xf numFmtId="173" fontId="9" fillId="0" borderId="0" xfId="0" applyNumberFormat="1" applyFont="1"/>
    <xf numFmtId="174" fontId="9" fillId="0" borderId="0" xfId="2" applyNumberFormat="1" applyFont="1" applyBorder="1" applyAlignment="1">
      <alignment horizontal="right"/>
    </xf>
    <xf numFmtId="5" fontId="9" fillId="0" borderId="0" xfId="0" applyNumberFormat="1" applyFont="1"/>
    <xf numFmtId="165" fontId="9" fillId="0" borderId="0" xfId="0" applyNumberFormat="1" applyFont="1" applyBorder="1" applyAlignment="1">
      <alignment horizontal="center"/>
    </xf>
    <xf numFmtId="0" fontId="19" fillId="0" borderId="0" xfId="0" applyFont="1" applyBorder="1" applyAlignment="1">
      <alignment horizontal="center" vertical="center"/>
    </xf>
    <xf numFmtId="0" fontId="26" fillId="5" borderId="0" xfId="0" applyFont="1" applyFill="1" applyAlignment="1">
      <alignment vertical="center" wrapText="1"/>
    </xf>
    <xf numFmtId="0" fontId="29" fillId="5" borderId="0" xfId="0" applyFont="1" applyFill="1" applyAlignment="1">
      <alignment vertical="center" wrapText="1"/>
    </xf>
    <xf numFmtId="0" fontId="30" fillId="4" borderId="0" xfId="0" applyFont="1" applyFill="1"/>
    <xf numFmtId="0" fontId="0" fillId="2" borderId="0" xfId="0" applyFill="1" applyBorder="1" applyAlignment="1"/>
    <xf numFmtId="0" fontId="8" fillId="5" borderId="0" xfId="0" applyFont="1" applyFill="1"/>
    <xf numFmtId="0" fontId="26" fillId="0" borderId="0" xfId="0" applyFont="1" applyFill="1" applyAlignment="1">
      <alignment vertical="center" wrapText="1"/>
    </xf>
    <xf numFmtId="0" fontId="0" fillId="0" borderId="0" xfId="0" applyFill="1" applyBorder="1" applyAlignment="1"/>
    <xf numFmtId="0" fontId="8" fillId="0" borderId="15" xfId="0" applyFont="1" applyFill="1" applyBorder="1"/>
    <xf numFmtId="0" fontId="0" fillId="0" borderId="4" xfId="0" applyFill="1" applyBorder="1" applyAlignment="1"/>
    <xf numFmtId="0" fontId="29" fillId="0" borderId="0" xfId="0" applyFont="1" applyFill="1" applyAlignment="1">
      <alignment vertical="center" wrapText="1"/>
    </xf>
    <xf numFmtId="0" fontId="28" fillId="0" borderId="0" xfId="17" applyFont="1" applyFill="1" applyBorder="1" applyAlignment="1">
      <alignment horizontal="left" vertical="top" wrapText="1"/>
    </xf>
    <xf numFmtId="0" fontId="7" fillId="0" borderId="0" xfId="0" applyFont="1" applyFill="1" applyBorder="1" applyAlignment="1">
      <alignment horizontal="center" vertical="center" wrapText="1"/>
    </xf>
    <xf numFmtId="171" fontId="9" fillId="0" borderId="0" xfId="0" applyNumberFormat="1" applyFont="1" applyFill="1" applyBorder="1"/>
    <xf numFmtId="171" fontId="9" fillId="0" borderId="0" xfId="0" applyNumberFormat="1" applyFont="1" applyFill="1" applyBorder="1" applyAlignment="1">
      <alignment horizontal="right"/>
    </xf>
    <xf numFmtId="0" fontId="7" fillId="0" borderId="0" xfId="0" applyFont="1" applyFill="1" applyBorder="1" applyAlignment="1">
      <alignment horizontal="centerContinuous" vertical="center" wrapText="1"/>
    </xf>
    <xf numFmtId="172" fontId="9" fillId="0" borderId="0" xfId="0" applyNumberFormat="1" applyFont="1" applyFill="1" applyBorder="1" applyAlignment="1">
      <alignment horizontal="center"/>
    </xf>
    <xf numFmtId="42" fontId="7" fillId="0" borderId="0" xfId="0" applyNumberFormat="1" applyFont="1" applyFill="1" applyBorder="1"/>
    <xf numFmtId="10" fontId="9" fillId="0" borderId="0" xfId="0" applyNumberFormat="1" applyFont="1"/>
    <xf numFmtId="37" fontId="9" fillId="0" borderId="0" xfId="0" applyNumberFormat="1" applyFont="1" applyBorder="1"/>
    <xf numFmtId="0" fontId="8" fillId="6" borderId="0" xfId="0" applyFont="1" applyFill="1"/>
    <xf numFmtId="0" fontId="34" fillId="0" borderId="15" xfId="0" applyFont="1" applyFill="1" applyBorder="1" applyAlignment="1"/>
    <xf numFmtId="0" fontId="8" fillId="0" borderId="15" xfId="0" applyFont="1" applyBorder="1"/>
    <xf numFmtId="0" fontId="0" fillId="2" borderId="4" xfId="0" applyFill="1" applyBorder="1" applyAlignment="1"/>
    <xf numFmtId="0" fontId="9" fillId="6" borderId="0" xfId="0" applyFont="1" applyFill="1"/>
    <xf numFmtId="0" fontId="32" fillId="0" borderId="0" xfId="0" applyFont="1" applyFill="1" applyBorder="1" applyAlignment="1">
      <alignment horizontal="center" vertical="center"/>
    </xf>
    <xf numFmtId="0" fontId="35" fillId="2" borderId="0" xfId="0" applyFont="1" applyFill="1" applyBorder="1" applyAlignment="1"/>
    <xf numFmtId="0" fontId="36" fillId="0" borderId="0" xfId="0" applyFont="1" applyBorder="1"/>
    <xf numFmtId="0" fontId="36" fillId="0" borderId="0" xfId="0" applyFont="1"/>
    <xf numFmtId="0" fontId="36" fillId="2" borderId="0" xfId="0" applyFont="1" applyFill="1" applyBorder="1" applyAlignment="1">
      <alignment horizontal="left"/>
    </xf>
    <xf numFmtId="0" fontId="36" fillId="2" borderId="0" xfId="0" applyFont="1" applyFill="1" applyBorder="1" applyAlignment="1"/>
    <xf numFmtId="165" fontId="11" fillId="0" borderId="0" xfId="1" applyNumberFormat="1" applyFont="1" applyFill="1" applyBorder="1" applyAlignment="1">
      <alignment horizontal="center" wrapText="1" readingOrder="1"/>
    </xf>
    <xf numFmtId="42" fontId="10" fillId="0" borderId="0" xfId="0" applyNumberFormat="1" applyFont="1" applyBorder="1" applyAlignment="1">
      <alignment horizontal="right"/>
    </xf>
    <xf numFmtId="0" fontId="7" fillId="3" borderId="0" xfId="0" applyFont="1" applyFill="1" applyBorder="1" applyAlignment="1">
      <alignment horizontal="center"/>
    </xf>
    <xf numFmtId="0" fontId="5" fillId="4" borderId="8" xfId="0" applyFont="1" applyFill="1" applyBorder="1" applyAlignment="1">
      <alignment horizontal="centerContinuous" vertical="center"/>
    </xf>
    <xf numFmtId="0" fontId="5" fillId="4" borderId="12" xfId="0" applyFont="1" applyFill="1" applyBorder="1" applyAlignment="1">
      <alignment horizontal="centerContinuous" vertical="center"/>
    </xf>
    <xf numFmtId="0" fontId="5" fillId="4" borderId="9" xfId="0" applyFont="1" applyFill="1" applyBorder="1" applyAlignment="1">
      <alignment horizontal="centerContinuous" vertical="center"/>
    </xf>
    <xf numFmtId="0" fontId="7" fillId="5" borderId="8" xfId="0" applyFont="1" applyFill="1" applyBorder="1" applyAlignment="1">
      <alignment horizontal="left"/>
    </xf>
    <xf numFmtId="42" fontId="7" fillId="5" borderId="12" xfId="0" applyNumberFormat="1" applyFont="1" applyFill="1" applyBorder="1"/>
    <xf numFmtId="0" fontId="7" fillId="5" borderId="3" xfId="0" applyFont="1" applyFill="1" applyBorder="1"/>
    <xf numFmtId="0" fontId="7" fillId="5" borderId="4" xfId="0" applyFont="1" applyFill="1" applyBorder="1"/>
    <xf numFmtId="0" fontId="10" fillId="0" borderId="10" xfId="0" applyFont="1" applyFill="1" applyBorder="1" applyAlignment="1">
      <alignment horizontal="left" vertical="top" wrapText="1" readingOrder="1"/>
    </xf>
    <xf numFmtId="164" fontId="10" fillId="0" borderId="1" xfId="1" applyNumberFormat="1" applyFont="1" applyFill="1" applyBorder="1" applyAlignment="1">
      <alignment horizontal="left" wrapText="1" readingOrder="1"/>
    </xf>
    <xf numFmtId="164" fontId="10" fillId="0" borderId="10" xfId="1" applyNumberFormat="1" applyFont="1" applyFill="1" applyBorder="1" applyAlignment="1">
      <alignment horizontal="left" wrapText="1" readingOrder="1"/>
    </xf>
    <xf numFmtId="164" fontId="10" fillId="0" borderId="3" xfId="1" applyNumberFormat="1" applyFont="1" applyFill="1" applyBorder="1" applyAlignment="1">
      <alignment horizontal="left" wrapText="1" readingOrder="1"/>
    </xf>
    <xf numFmtId="164" fontId="7" fillId="0" borderId="6" xfId="1" applyNumberFormat="1" applyFont="1" applyFill="1" applyBorder="1" applyAlignment="1">
      <alignment readingOrder="1"/>
    </xf>
    <xf numFmtId="164" fontId="7" fillId="0" borderId="2" xfId="1" applyNumberFormat="1" applyFont="1" applyFill="1" applyBorder="1" applyAlignment="1">
      <alignment readingOrder="1"/>
    </xf>
    <xf numFmtId="41" fontId="7" fillId="0" borderId="0" xfId="0" applyNumberFormat="1" applyFont="1" applyFill="1" applyBorder="1" applyAlignment="1"/>
    <xf numFmtId="165" fontId="7" fillId="0" borderId="0" xfId="0" applyNumberFormat="1" applyFont="1" applyFill="1" applyBorder="1" applyAlignment="1">
      <alignment horizontal="center"/>
    </xf>
    <xf numFmtId="0" fontId="13" fillId="5" borderId="8" xfId="0" applyFont="1" applyFill="1" applyBorder="1" applyAlignment="1">
      <alignment horizontal="left" vertical="top" wrapText="1" readingOrder="1"/>
    </xf>
    <xf numFmtId="165" fontId="11" fillId="0" borderId="6" xfId="1" applyNumberFormat="1" applyFont="1" applyFill="1" applyBorder="1" applyAlignment="1">
      <alignment horizontal="center" wrapText="1" readingOrder="1"/>
    </xf>
    <xf numFmtId="164" fontId="13" fillId="5" borderId="8" xfId="1" applyNumberFormat="1" applyFont="1" applyFill="1" applyBorder="1" applyAlignment="1">
      <alignment horizontal="left" wrapText="1" readingOrder="1"/>
    </xf>
    <xf numFmtId="164" fontId="13" fillId="5" borderId="12" xfId="1" applyNumberFormat="1" applyFont="1" applyFill="1" applyBorder="1" applyAlignment="1">
      <alignment horizontal="left" wrapText="1" readingOrder="1"/>
    </xf>
    <xf numFmtId="0" fontId="7" fillId="3" borderId="3" xfId="0" applyFont="1" applyFill="1" applyBorder="1" applyAlignment="1">
      <alignment horizontal="center" vertical="center" wrapText="1"/>
    </xf>
    <xf numFmtId="164" fontId="10" fillId="0" borderId="1" xfId="1" applyNumberFormat="1" applyFont="1" applyFill="1" applyBorder="1" applyAlignment="1">
      <alignment readingOrder="1"/>
    </xf>
    <xf numFmtId="164" fontId="10" fillId="0" borderId="15" xfId="1" applyNumberFormat="1" applyFont="1" applyFill="1" applyBorder="1" applyAlignment="1">
      <alignment readingOrder="1"/>
    </xf>
    <xf numFmtId="164" fontId="10" fillId="0" borderId="10" xfId="1" applyNumberFormat="1" applyFont="1" applyFill="1" applyBorder="1" applyAlignment="1">
      <alignment readingOrder="1"/>
    </xf>
    <xf numFmtId="0" fontId="6" fillId="4" borderId="12" xfId="0" applyFont="1" applyFill="1" applyBorder="1" applyAlignment="1">
      <alignment horizontal="centerContinuous" vertical="center"/>
    </xf>
    <xf numFmtId="0" fontId="6" fillId="4" borderId="9" xfId="0" applyFont="1" applyFill="1" applyBorder="1" applyAlignment="1">
      <alignment horizontal="centerContinuous" vertical="center"/>
    </xf>
    <xf numFmtId="0" fontId="7" fillId="3" borderId="9" xfId="0" applyFont="1" applyFill="1" applyBorder="1" applyAlignment="1">
      <alignment horizontal="center" vertical="center"/>
    </xf>
    <xf numFmtId="172" fontId="9" fillId="0" borderId="0" xfId="0" applyNumberFormat="1" applyFont="1" applyBorder="1" applyAlignment="1">
      <alignment horizontal="center"/>
    </xf>
    <xf numFmtId="164" fontId="9" fillId="0" borderId="10" xfId="0" applyNumberFormat="1" applyFont="1" applyBorder="1"/>
    <xf numFmtId="0" fontId="39" fillId="0" borderId="0" xfId="0" applyFont="1" applyFill="1" applyBorder="1"/>
    <xf numFmtId="0" fontId="7" fillId="0" borderId="3" xfId="0" applyFont="1" applyFill="1" applyBorder="1" applyAlignment="1">
      <alignment horizontal="left"/>
    </xf>
    <xf numFmtId="42" fontId="7" fillId="5" borderId="5" xfId="0" applyNumberFormat="1" applyFont="1" applyFill="1" applyBorder="1" applyAlignment="1">
      <alignment horizontal="right"/>
    </xf>
    <xf numFmtId="0" fontId="7" fillId="3" borderId="10" xfId="0" applyFont="1" applyFill="1" applyBorder="1" applyAlignment="1">
      <alignment horizontal="center" vertical="center" wrapText="1"/>
    </xf>
    <xf numFmtId="0" fontId="10" fillId="0" borderId="0" xfId="0" applyFont="1" applyFill="1" applyBorder="1" applyAlignment="1">
      <alignment horizontal="center" vertical="top" wrapText="1" readingOrder="1"/>
    </xf>
    <xf numFmtId="164" fontId="13" fillId="0" borderId="3" xfId="1" applyNumberFormat="1" applyFont="1" applyFill="1" applyBorder="1" applyAlignment="1">
      <alignment horizontal="left" wrapText="1" readingOrder="1"/>
    </xf>
    <xf numFmtId="164" fontId="7" fillId="0" borderId="0" xfId="1" applyNumberFormat="1" applyFont="1" applyFill="1" applyBorder="1" applyAlignment="1">
      <alignment horizontal="center" wrapText="1" readingOrder="1"/>
    </xf>
    <xf numFmtId="164" fontId="13" fillId="0" borderId="10" xfId="1" applyNumberFormat="1" applyFont="1" applyFill="1" applyBorder="1" applyAlignment="1">
      <alignment horizontal="left" wrapText="1" readingOrder="1"/>
    </xf>
    <xf numFmtId="0" fontId="5" fillId="4" borderId="8" xfId="0" applyFont="1" applyFill="1" applyBorder="1" applyAlignment="1">
      <alignment vertical="center"/>
    </xf>
    <xf numFmtId="0" fontId="5" fillId="4" borderId="9" xfId="0" applyFont="1" applyFill="1" applyBorder="1" applyAlignment="1">
      <alignment vertical="center"/>
    </xf>
    <xf numFmtId="0" fontId="10" fillId="0" borderId="1" xfId="0" applyFont="1" applyFill="1" applyBorder="1" applyAlignment="1">
      <alignment horizontal="left" vertical="top" wrapText="1" readingOrder="1"/>
    </xf>
    <xf numFmtId="165" fontId="11" fillId="0" borderId="15" xfId="1" applyNumberFormat="1" applyFont="1" applyFill="1" applyBorder="1" applyAlignment="1">
      <alignment horizontal="center" wrapText="1" readingOrder="1"/>
    </xf>
    <xf numFmtId="165" fontId="11" fillId="0" borderId="4" xfId="1" applyNumberFormat="1" applyFont="1" applyFill="1" applyBorder="1" applyAlignment="1">
      <alignment horizontal="center" wrapText="1" readingOrder="1"/>
    </xf>
    <xf numFmtId="165" fontId="11" fillId="0" borderId="2" xfId="1" applyNumberFormat="1" applyFont="1" applyFill="1" applyBorder="1" applyAlignment="1">
      <alignment horizontal="center" wrapText="1" readingOrder="1"/>
    </xf>
    <xf numFmtId="165" fontId="11" fillId="0" borderId="5" xfId="1" applyNumberFormat="1" applyFont="1" applyFill="1" applyBorder="1" applyAlignment="1">
      <alignment horizontal="center" wrapText="1" readingOrder="1"/>
    </xf>
    <xf numFmtId="0" fontId="7" fillId="3" borderId="14" xfId="0" applyFont="1" applyFill="1" applyBorder="1" applyAlignment="1">
      <alignment horizontal="left" vertical="center"/>
    </xf>
    <xf numFmtId="0" fontId="7" fillId="3" borderId="14" xfId="0" applyFont="1" applyFill="1" applyBorder="1" applyAlignment="1">
      <alignment horizontal="center" vertical="center" wrapText="1"/>
    </xf>
    <xf numFmtId="164" fontId="39" fillId="0" borderId="0" xfId="0" applyNumberFormat="1" applyFont="1"/>
    <xf numFmtId="0" fontId="9" fillId="0" borderId="10" xfId="0" applyFont="1" applyFill="1" applyBorder="1" applyAlignment="1">
      <alignment horizontal="left" vertical="top" wrapText="1" readingOrder="1"/>
    </xf>
    <xf numFmtId="0" fontId="9" fillId="0" borderId="0" xfId="0" applyFont="1" applyFill="1" applyBorder="1" applyAlignment="1">
      <alignment horizontal="center" vertical="top" wrapText="1" readingOrder="1"/>
    </xf>
    <xf numFmtId="42" fontId="9" fillId="0" borderId="0" xfId="0" applyNumberFormat="1" applyFont="1" applyFill="1" applyBorder="1" applyAlignment="1">
      <alignment horizontal="right"/>
    </xf>
    <xf numFmtId="164" fontId="39" fillId="0" borderId="15" xfId="0" applyNumberFormat="1" applyFont="1" applyBorder="1" applyAlignment="1">
      <alignment horizontal="center"/>
    </xf>
    <xf numFmtId="0" fontId="10" fillId="0" borderId="3" xfId="0" applyFont="1" applyFill="1" applyBorder="1" applyAlignment="1">
      <alignment horizontal="left" vertical="top" wrapText="1" readingOrder="1"/>
    </xf>
    <xf numFmtId="0" fontId="10" fillId="0" borderId="4" xfId="0" applyFont="1" applyFill="1" applyBorder="1" applyAlignment="1">
      <alignment horizontal="center" vertical="top" wrapText="1" readingOrder="1"/>
    </xf>
    <xf numFmtId="164" fontId="9" fillId="0" borderId="4" xfId="1" applyNumberFormat="1" applyFont="1" applyFill="1" applyBorder="1" applyAlignment="1">
      <alignment horizontal="left" wrapText="1" readingOrder="1"/>
    </xf>
    <xf numFmtId="164" fontId="7" fillId="0" borderId="4" xfId="1" applyNumberFormat="1" applyFont="1" applyFill="1" applyBorder="1" applyAlignment="1">
      <alignment horizontal="center" wrapText="1" readingOrder="1"/>
    </xf>
    <xf numFmtId="0" fontId="31" fillId="4" borderId="0" xfId="0" applyFont="1" applyFill="1" applyAlignment="1">
      <alignment horizontal="right"/>
    </xf>
    <xf numFmtId="0" fontId="13" fillId="5" borderId="12" xfId="0" applyFont="1" applyFill="1" applyBorder="1" applyAlignment="1">
      <alignment horizontal="left" vertical="top" wrapText="1" readingOrder="1"/>
    </xf>
    <xf numFmtId="9" fontId="11" fillId="5" borderId="9" xfId="1" applyNumberFormat="1" applyFont="1" applyFill="1" applyBorder="1" applyAlignment="1">
      <alignment horizontal="center" wrapText="1" readingOrder="1"/>
    </xf>
    <xf numFmtId="9" fontId="11" fillId="5" borderId="4" xfId="1" applyNumberFormat="1" applyFont="1" applyFill="1" applyBorder="1" applyAlignment="1">
      <alignment horizontal="center" wrapText="1" readingOrder="1"/>
    </xf>
    <xf numFmtId="164" fontId="13" fillId="5" borderId="3" xfId="1" applyNumberFormat="1" applyFont="1" applyFill="1" applyBorder="1" applyAlignment="1">
      <alignment horizontal="left" wrapText="1" readingOrder="1"/>
    </xf>
    <xf numFmtId="0" fontId="7" fillId="7" borderId="8" xfId="0" applyFont="1" applyFill="1" applyBorder="1"/>
    <xf numFmtId="0" fontId="13" fillId="5" borderId="13" xfId="0" applyFont="1" applyFill="1" applyBorder="1" applyAlignment="1">
      <alignment horizontal="left" vertical="top" wrapText="1" readingOrder="1"/>
    </xf>
    <xf numFmtId="164" fontId="7" fillId="5" borderId="5" xfId="0" applyNumberFormat="1" applyFont="1" applyFill="1" applyBorder="1"/>
    <xf numFmtId="9" fontId="7" fillId="5" borderId="9" xfId="0" applyNumberFormat="1" applyFont="1" applyFill="1" applyBorder="1" applyAlignment="1">
      <alignment horizontal="center"/>
    </xf>
    <xf numFmtId="0" fontId="7" fillId="5" borderId="8" xfId="0" applyFont="1" applyFill="1" applyBorder="1"/>
    <xf numFmtId="0" fontId="7" fillId="5" borderId="12" xfId="0" applyFont="1" applyFill="1" applyBorder="1"/>
    <xf numFmtId="164" fontId="7" fillId="5" borderId="8" xfId="1" applyNumberFormat="1" applyFont="1" applyFill="1" applyBorder="1" applyAlignment="1">
      <alignment readingOrder="1"/>
    </xf>
    <xf numFmtId="164" fontId="7" fillId="5" borderId="12" xfId="1" applyNumberFormat="1" applyFont="1" applyFill="1" applyBorder="1" applyAlignment="1">
      <alignment readingOrder="1"/>
    </xf>
    <xf numFmtId="164" fontId="7" fillId="5" borderId="9" xfId="1" applyNumberFormat="1" applyFont="1" applyFill="1" applyBorder="1" applyAlignment="1">
      <alignment readingOrder="1"/>
    </xf>
    <xf numFmtId="37" fontId="7" fillId="5" borderId="12" xfId="0" applyNumberFormat="1" applyFont="1" applyFill="1" applyBorder="1" applyAlignment="1">
      <alignment horizontal="center"/>
    </xf>
    <xf numFmtId="165" fontId="9" fillId="5" borderId="12" xfId="2" applyNumberFormat="1" applyFont="1" applyFill="1" applyBorder="1" applyAlignment="1">
      <alignment horizontal="center"/>
    </xf>
    <xf numFmtId="42" fontId="9" fillId="5" borderId="9" xfId="0" applyNumberFormat="1" applyFont="1" applyFill="1" applyBorder="1" applyAlignment="1">
      <alignment horizontal="center"/>
    </xf>
    <xf numFmtId="42" fontId="7" fillId="5" borderId="12" xfId="0" applyNumberFormat="1" applyFont="1" applyFill="1" applyBorder="1" applyAlignment="1">
      <alignment horizontal="center"/>
    </xf>
    <xf numFmtId="42" fontId="9" fillId="5" borderId="12" xfId="0" applyNumberFormat="1" applyFont="1" applyFill="1" applyBorder="1" applyAlignment="1">
      <alignment horizontal="center"/>
    </xf>
    <xf numFmtId="42" fontId="7" fillId="5" borderId="12" xfId="0" applyNumberFormat="1" applyFont="1" applyFill="1" applyBorder="1" applyAlignment="1">
      <alignment horizontal="right"/>
    </xf>
    <xf numFmtId="42" fontId="7" fillId="5" borderId="9" xfId="0" applyNumberFormat="1" applyFont="1" applyFill="1" applyBorder="1" applyAlignment="1">
      <alignment horizontal="right"/>
    </xf>
    <xf numFmtId="42" fontId="11" fillId="0" borderId="4" xfId="1" applyNumberFormat="1" applyFont="1" applyFill="1" applyBorder="1" applyAlignment="1">
      <alignment horizontal="left" wrapText="1" readingOrder="1"/>
    </xf>
    <xf numFmtId="41" fontId="7" fillId="0" borderId="4" xfId="0" applyNumberFormat="1" applyFont="1" applyFill="1" applyBorder="1" applyAlignment="1"/>
    <xf numFmtId="164" fontId="13" fillId="0" borderId="4" xfId="1" applyNumberFormat="1" applyFont="1" applyFill="1" applyBorder="1" applyAlignment="1">
      <alignment horizontal="left" wrapText="1" readingOrder="1"/>
    </xf>
    <xf numFmtId="0" fontId="7" fillId="5" borderId="8" xfId="0" applyFont="1" applyFill="1" applyBorder="1" applyAlignment="1"/>
    <xf numFmtId="164" fontId="7" fillId="5" borderId="8" xfId="0" applyNumberFormat="1" applyFont="1" applyFill="1" applyBorder="1"/>
    <xf numFmtId="165" fontId="7" fillId="5" borderId="12" xfId="0" applyNumberFormat="1" applyFont="1" applyFill="1" applyBorder="1" applyAlignment="1">
      <alignment horizontal="center"/>
    </xf>
    <xf numFmtId="0" fontId="9" fillId="5" borderId="12" xfId="0" applyFont="1" applyFill="1" applyBorder="1"/>
    <xf numFmtId="0" fontId="9" fillId="5" borderId="9" xfId="0" applyFont="1" applyFill="1" applyBorder="1"/>
    <xf numFmtId="0" fontId="10" fillId="0" borderId="1" xfId="0" applyFont="1" applyFill="1" applyBorder="1"/>
    <xf numFmtId="0" fontId="10" fillId="0" borderId="3" xfId="0" applyFont="1" applyFill="1" applyBorder="1"/>
    <xf numFmtId="42" fontId="9" fillId="0" borderId="4" xfId="0" applyNumberFormat="1" applyFont="1" applyFill="1" applyBorder="1" applyAlignment="1">
      <alignment horizontal="right"/>
    </xf>
    <xf numFmtId="0" fontId="10" fillId="0" borderId="4" xfId="0" applyFont="1" applyFill="1" applyBorder="1" applyAlignment="1">
      <alignment horizontal="center"/>
    </xf>
    <xf numFmtId="164" fontId="10" fillId="0" borderId="3" xfId="1" applyNumberFormat="1" applyFont="1" applyFill="1" applyBorder="1" applyAlignment="1">
      <alignment readingOrder="1"/>
    </xf>
    <xf numFmtId="164" fontId="10" fillId="0" borderId="4" xfId="1" applyNumberFormat="1" applyFont="1" applyFill="1" applyBorder="1" applyAlignment="1">
      <alignment readingOrder="1"/>
    </xf>
    <xf numFmtId="164" fontId="7" fillId="0" borderId="5" xfId="1" applyNumberFormat="1" applyFont="1" applyFill="1" applyBorder="1" applyAlignment="1">
      <alignment readingOrder="1"/>
    </xf>
    <xf numFmtId="0" fontId="30" fillId="4" borderId="4" xfId="0" applyFont="1" applyFill="1" applyBorder="1"/>
    <xf numFmtId="167" fontId="10" fillId="0" borderId="6" xfId="0" applyNumberFormat="1" applyFont="1" applyFill="1" applyBorder="1"/>
    <xf numFmtId="0" fontId="7" fillId="3" borderId="0" xfId="0" applyFont="1" applyFill="1" applyBorder="1" applyAlignment="1">
      <alignment horizontal="centerContinuous" vertical="center" wrapText="1"/>
    </xf>
    <xf numFmtId="0" fontId="5" fillId="4" borderId="4" xfId="0" applyFont="1" applyFill="1" applyBorder="1" applyAlignment="1">
      <alignment horizontal="centerContinuous"/>
    </xf>
    <xf numFmtId="42" fontId="10" fillId="0" borderId="4" xfId="0" applyNumberFormat="1" applyFont="1" applyBorder="1" applyAlignment="1">
      <alignment horizontal="center"/>
    </xf>
    <xf numFmtId="42" fontId="9" fillId="0" borderId="0" xfId="0" applyNumberFormat="1" applyFont="1" applyFill="1" applyBorder="1" applyAlignment="1">
      <alignment horizontal="center"/>
    </xf>
    <xf numFmtId="42" fontId="9" fillId="0" borderId="4" xfId="0" applyNumberFormat="1" applyFont="1" applyFill="1" applyBorder="1" applyAlignment="1">
      <alignment horizontal="center"/>
    </xf>
    <xf numFmtId="168" fontId="7" fillId="7" borderId="12" xfId="0" applyNumberFormat="1" applyFont="1" applyFill="1" applyBorder="1" applyAlignment="1">
      <alignment horizontal="right"/>
    </xf>
    <xf numFmtId="0" fontId="7" fillId="7" borderId="12" xfId="0" applyFont="1" applyFill="1" applyBorder="1" applyAlignment="1">
      <alignment horizontal="right"/>
    </xf>
    <xf numFmtId="0" fontId="7" fillId="7" borderId="9" xfId="0" applyFont="1" applyFill="1" applyBorder="1" applyAlignment="1">
      <alignment horizontal="right"/>
    </xf>
    <xf numFmtId="42" fontId="10" fillId="0" borderId="15" xfId="0" applyNumberFormat="1" applyFont="1" applyFill="1" applyBorder="1" applyAlignment="1">
      <alignment horizontal="right"/>
    </xf>
    <xf numFmtId="42" fontId="9" fillId="0" borderId="2" xfId="0" applyNumberFormat="1" applyFont="1" applyBorder="1" applyAlignment="1">
      <alignment horizontal="right"/>
    </xf>
    <xf numFmtId="42" fontId="10" fillId="0" borderId="4" xfId="0" applyNumberFormat="1" applyFont="1" applyFill="1" applyBorder="1" applyAlignment="1">
      <alignment horizontal="right"/>
    </xf>
    <xf numFmtId="42" fontId="9" fillId="0" borderId="5" xfId="0" applyNumberFormat="1" applyFont="1" applyBorder="1" applyAlignment="1">
      <alignment horizontal="right"/>
    </xf>
    <xf numFmtId="164" fontId="39" fillId="0" borderId="0" xfId="0" applyNumberFormat="1" applyFont="1" applyAlignment="1">
      <alignment horizontal="right"/>
    </xf>
    <xf numFmtId="164" fontId="39" fillId="0" borderId="12" xfId="0" applyNumberFormat="1" applyFont="1" applyBorder="1" applyAlignment="1">
      <alignment horizontal="right"/>
    </xf>
    <xf numFmtId="42" fontId="7" fillId="0" borderId="5" xfId="0" applyNumberFormat="1" applyFont="1" applyFill="1" applyBorder="1" applyAlignment="1">
      <alignment horizontal="right"/>
    </xf>
    <xf numFmtId="14" fontId="10" fillId="0" borderId="4" xfId="0" applyNumberFormat="1" applyFont="1" applyBorder="1" applyAlignment="1">
      <alignment horizontal="center" vertical="center"/>
    </xf>
    <xf numFmtId="42" fontId="9" fillId="0" borderId="4" xfId="0" applyNumberFormat="1" applyFont="1" applyBorder="1" applyAlignment="1">
      <alignment horizontal="right"/>
    </xf>
    <xf numFmtId="165" fontId="9" fillId="0" borderId="0" xfId="0" applyNumberFormat="1" applyFont="1" applyBorder="1" applyAlignment="1">
      <alignment horizontal="center" vertical="center"/>
    </xf>
    <xf numFmtId="165" fontId="9" fillId="0" borderId="4" xfId="0" applyNumberFormat="1" applyFont="1" applyBorder="1" applyAlignment="1">
      <alignment horizontal="center" vertical="center"/>
    </xf>
    <xf numFmtId="164" fontId="11" fillId="0" borderId="4" xfId="1" applyNumberFormat="1" applyFont="1" applyFill="1" applyBorder="1" applyAlignment="1">
      <alignment horizontal="left" wrapText="1" readingOrder="1"/>
    </xf>
    <xf numFmtId="42" fontId="9" fillId="0" borderId="4" xfId="0" applyNumberFormat="1" applyFont="1" applyBorder="1"/>
    <xf numFmtId="172" fontId="9" fillId="0" borderId="5" xfId="0" applyNumberFormat="1" applyFont="1" applyBorder="1" applyAlignment="1">
      <alignment horizontal="center"/>
    </xf>
    <xf numFmtId="0" fontId="7" fillId="3" borderId="6" xfId="0" applyFont="1" applyFill="1" applyBorder="1" applyAlignment="1">
      <alignment horizontal="center"/>
    </xf>
    <xf numFmtId="0" fontId="7" fillId="3" borderId="5" xfId="0" applyFont="1" applyFill="1" applyBorder="1" applyAlignment="1">
      <alignment horizontal="center" vertical="center"/>
    </xf>
    <xf numFmtId="0" fontId="10" fillId="0" borderId="8" xfId="0" applyFont="1" applyBorder="1"/>
    <xf numFmtId="9" fontId="10" fillId="0" borderId="12" xfId="0" applyNumberFormat="1" applyFont="1" applyBorder="1" applyAlignment="1">
      <alignment horizontal="center"/>
    </xf>
    <xf numFmtId="0" fontId="10" fillId="0" borderId="3" xfId="0" applyFont="1" applyBorder="1"/>
    <xf numFmtId="9" fontId="10" fillId="0" borderId="4" xfId="0" applyNumberFormat="1" applyFont="1" applyBorder="1" applyAlignment="1">
      <alignment horizontal="center"/>
    </xf>
    <xf numFmtId="175" fontId="9" fillId="0" borderId="0" xfId="0" applyNumberFormat="1" applyFont="1"/>
    <xf numFmtId="0" fontId="17" fillId="0" borderId="10" xfId="0" applyFont="1" applyBorder="1"/>
    <xf numFmtId="0" fontId="9" fillId="0" borderId="4" xfId="0" applyFont="1" applyBorder="1"/>
    <xf numFmtId="0" fontId="9" fillId="0" borderId="2" xfId="0" applyFont="1" applyFill="1" applyBorder="1"/>
    <xf numFmtId="0" fontId="9" fillId="0" borderId="6" xfId="0" applyFont="1" applyBorder="1"/>
    <xf numFmtId="0" fontId="10" fillId="0" borderId="9" xfId="0" applyFont="1" applyBorder="1" applyAlignment="1">
      <alignment horizontal="center"/>
    </xf>
    <xf numFmtId="0" fontId="10" fillId="0" borderId="5" xfId="0" applyFont="1" applyBorder="1" applyAlignment="1">
      <alignment horizontal="center"/>
    </xf>
    <xf numFmtId="0" fontId="10" fillId="0" borderId="4" xfId="0" applyFont="1" applyFill="1" applyBorder="1" applyAlignment="1">
      <alignment horizontal="center" vertical="center"/>
    </xf>
    <xf numFmtId="42" fontId="10" fillId="0" borderId="12" xfId="0" applyNumberFormat="1" applyFont="1" applyFill="1" applyBorder="1" applyAlignment="1">
      <alignment horizontal="center"/>
    </xf>
    <xf numFmtId="0" fontId="10" fillId="0" borderId="12" xfId="0" applyFont="1" applyFill="1" applyBorder="1" applyAlignment="1">
      <alignment horizontal="center" vertical="center"/>
    </xf>
    <xf numFmtId="0" fontId="20" fillId="0" borderId="0" xfId="0" applyFont="1" applyFill="1" applyBorder="1"/>
    <xf numFmtId="0" fontId="5" fillId="4" borderId="5" xfId="0" applyFont="1" applyFill="1" applyBorder="1" applyAlignment="1">
      <alignment horizontal="centerContinuous"/>
    </xf>
    <xf numFmtId="5" fontId="9" fillId="0" borderId="0" xfId="0" applyNumberFormat="1" applyFont="1" applyBorder="1"/>
    <xf numFmtId="173" fontId="9" fillId="0" borderId="0" xfId="0" applyNumberFormat="1" applyFont="1" applyBorder="1"/>
    <xf numFmtId="44" fontId="9" fillId="0" borderId="0" xfId="0" applyNumberFormat="1" applyFont="1" applyBorder="1"/>
    <xf numFmtId="0" fontId="5" fillId="4" borderId="14" xfId="0" applyFont="1" applyFill="1" applyBorder="1" applyAlignment="1">
      <alignment horizontal="centerContinuous"/>
    </xf>
    <xf numFmtId="165" fontId="9" fillId="0" borderId="4" xfId="2" applyNumberFormat="1" applyFont="1" applyFill="1" applyBorder="1" applyAlignment="1">
      <alignment horizontal="center"/>
    </xf>
    <xf numFmtId="0" fontId="5" fillId="4" borderId="1" xfId="0" applyFont="1" applyFill="1" applyBorder="1" applyAlignment="1">
      <alignment horizontal="centerContinuous"/>
    </xf>
    <xf numFmtId="0" fontId="9" fillId="0" borderId="10" xfId="0" applyFont="1" applyBorder="1" applyAlignment="1">
      <alignment horizontal="center"/>
    </xf>
    <xf numFmtId="0" fontId="9" fillId="0" borderId="3" xfId="0" applyFont="1" applyBorder="1" applyAlignment="1">
      <alignment horizontal="center"/>
    </xf>
    <xf numFmtId="5" fontId="7" fillId="5" borderId="12" xfId="0" applyNumberFormat="1" applyFont="1" applyFill="1" applyBorder="1"/>
    <xf numFmtId="0" fontId="9" fillId="0" borderId="1" xfId="0" applyFont="1" applyBorder="1"/>
    <xf numFmtId="0" fontId="9" fillId="0" borderId="2" xfId="0" applyFont="1" applyBorder="1"/>
    <xf numFmtId="0" fontId="7" fillId="3" borderId="6" xfId="0" applyFont="1" applyFill="1" applyBorder="1" applyAlignment="1">
      <alignment horizontal="centerContinuous" vertical="center" wrapText="1"/>
    </xf>
    <xf numFmtId="0" fontId="9" fillId="0" borderId="6" xfId="0" applyFont="1" applyBorder="1" applyAlignment="1">
      <alignment horizontal="center"/>
    </xf>
    <xf numFmtId="0" fontId="9" fillId="0" borderId="5" xfId="0" applyFont="1" applyBorder="1" applyAlignment="1">
      <alignment horizontal="center"/>
    </xf>
    <xf numFmtId="42" fontId="9" fillId="0" borderId="3" xfId="0" applyNumberFormat="1" applyFont="1" applyBorder="1"/>
    <xf numFmtId="0" fontId="41" fillId="0" borderId="10" xfId="0" applyFont="1" applyFill="1" applyBorder="1" applyAlignment="1">
      <alignment horizontal="center"/>
    </xf>
    <xf numFmtId="0" fontId="41" fillId="0" borderId="3" xfId="0" applyFont="1" applyFill="1" applyBorder="1" applyAlignment="1">
      <alignment horizontal="center"/>
    </xf>
    <xf numFmtId="0" fontId="7" fillId="3" borderId="10" xfId="0" applyFont="1" applyFill="1" applyBorder="1" applyAlignment="1">
      <alignment horizontal="center" wrapText="1"/>
    </xf>
    <xf numFmtId="0" fontId="9" fillId="0" borderId="3" xfId="0" applyFont="1" applyBorder="1"/>
    <xf numFmtId="0" fontId="7" fillId="8" borderId="1" xfId="0" applyFont="1" applyFill="1" applyBorder="1"/>
    <xf numFmtId="0" fontId="7" fillId="8" borderId="15" xfId="0" applyFont="1" applyFill="1" applyBorder="1" applyAlignment="1">
      <alignment horizontal="center"/>
    </xf>
    <xf numFmtId="0" fontId="7" fillId="8" borderId="2" xfId="0" applyFont="1" applyFill="1" applyBorder="1" applyAlignment="1">
      <alignment horizontal="center"/>
    </xf>
    <xf numFmtId="0" fontId="5" fillId="4" borderId="2" xfId="0" applyFont="1" applyFill="1" applyBorder="1" applyAlignment="1">
      <alignment horizontal="centerContinuous" vertical="center"/>
    </xf>
    <xf numFmtId="0" fontId="9" fillId="0" borderId="5" xfId="0" applyFont="1" applyBorder="1"/>
    <xf numFmtId="0" fontId="8" fillId="0" borderId="4" xfId="0" applyFont="1" applyBorder="1"/>
    <xf numFmtId="0" fontId="8" fillId="0" borderId="5" xfId="0" applyFont="1" applyFill="1" applyBorder="1"/>
    <xf numFmtId="14" fontId="21" fillId="0" borderId="0" xfId="9" applyNumberFormat="1" applyFont="1" applyFill="1" applyBorder="1" applyAlignment="1">
      <alignment horizontal="center"/>
    </xf>
    <xf numFmtId="44" fontId="21" fillId="0" borderId="15" xfId="4" applyFont="1" applyFill="1" applyBorder="1"/>
    <xf numFmtId="37" fontId="10" fillId="0" borderId="0" xfId="2" applyNumberFormat="1" applyFont="1" applyFill="1" applyBorder="1" applyAlignment="1">
      <alignment horizontal="center"/>
    </xf>
    <xf numFmtId="37" fontId="10" fillId="0" borderId="0" xfId="0" applyNumberFormat="1" applyFont="1" applyFill="1" applyBorder="1" applyAlignment="1">
      <alignment horizontal="center"/>
    </xf>
    <xf numFmtId="37" fontId="10" fillId="0" borderId="6" xfId="0" applyNumberFormat="1" applyFont="1" applyFill="1" applyBorder="1" applyAlignment="1">
      <alignment horizontal="center"/>
    </xf>
    <xf numFmtId="14" fontId="21" fillId="0" borderId="4" xfId="9" applyNumberFormat="1" applyFont="1" applyFill="1" applyBorder="1" applyAlignment="1">
      <alignment horizontal="center"/>
    </xf>
    <xf numFmtId="44" fontId="21" fillId="0" borderId="4" xfId="4" applyFont="1" applyFill="1" applyBorder="1"/>
    <xf numFmtId="37" fontId="10" fillId="0" borderId="4" xfId="2" applyNumberFormat="1" applyFont="1" applyFill="1" applyBorder="1" applyAlignment="1">
      <alignment horizontal="center"/>
    </xf>
    <xf numFmtId="37" fontId="10" fillId="0" borderId="4" xfId="0" applyNumberFormat="1" applyFont="1" applyFill="1" applyBorder="1" applyAlignment="1">
      <alignment horizontal="center"/>
    </xf>
    <xf numFmtId="37" fontId="10" fillId="0" borderId="5" xfId="0" applyNumberFormat="1" applyFont="1" applyFill="1" applyBorder="1" applyAlignment="1">
      <alignment horizontal="center"/>
    </xf>
    <xf numFmtId="44" fontId="21" fillId="0" borderId="0" xfId="4" applyFont="1" applyFill="1" applyBorder="1"/>
    <xf numFmtId="0" fontId="5" fillId="4" borderId="0" xfId="0" applyFont="1" applyFill="1" applyBorder="1" applyAlignment="1">
      <alignment horizontal="centerContinuous"/>
    </xf>
    <xf numFmtId="0" fontId="9" fillId="0" borderId="0" xfId="0" applyFont="1" applyFill="1" applyBorder="1" applyAlignment="1">
      <alignment horizontal="center" vertical="center"/>
    </xf>
    <xf numFmtId="0" fontId="9" fillId="0" borderId="4" xfId="0" applyFont="1" applyFill="1" applyBorder="1" applyAlignment="1">
      <alignment horizontal="center" vertical="center"/>
    </xf>
    <xf numFmtId="37" fontId="9" fillId="0" borderId="0" xfId="0" applyNumberFormat="1" applyFont="1" applyAlignment="1">
      <alignment horizontal="center"/>
    </xf>
    <xf numFmtId="37" fontId="9" fillId="0" borderId="4" xfId="0" applyNumberFormat="1" applyFont="1" applyBorder="1" applyAlignment="1">
      <alignment horizontal="center"/>
    </xf>
    <xf numFmtId="164" fontId="39" fillId="0" borderId="0" xfId="0" applyNumberFormat="1" applyFont="1" applyBorder="1" applyAlignment="1">
      <alignment horizontal="center"/>
    </xf>
    <xf numFmtId="5" fontId="7" fillId="5" borderId="8" xfId="0" applyNumberFormat="1" applyFont="1" applyFill="1" applyBorder="1"/>
    <xf numFmtId="9" fontId="9" fillId="0" borderId="0" xfId="0" applyNumberFormat="1" applyFont="1" applyAlignment="1">
      <alignment horizontal="center"/>
    </xf>
    <xf numFmtId="9" fontId="9" fillId="0" borderId="4" xfId="0" applyNumberFormat="1" applyFont="1" applyBorder="1" applyAlignment="1">
      <alignment horizontal="center"/>
    </xf>
    <xf numFmtId="37" fontId="9" fillId="0" borderId="0" xfId="0" applyNumberFormat="1" applyFont="1" applyFill="1" applyAlignment="1">
      <alignment horizontal="center"/>
    </xf>
    <xf numFmtId="9" fontId="9" fillId="0" borderId="0" xfId="0" applyNumberFormat="1" applyFont="1" applyFill="1" applyAlignment="1">
      <alignment horizontal="center"/>
    </xf>
    <xf numFmtId="0" fontId="6" fillId="4" borderId="6" xfId="0" applyFont="1" applyFill="1" applyBorder="1" applyAlignment="1">
      <alignment horizontal="centerContinuous" vertical="center"/>
    </xf>
    <xf numFmtId="1" fontId="9" fillId="0" borderId="6" xfId="0" applyNumberFormat="1" applyFont="1" applyBorder="1" applyAlignment="1">
      <alignment horizontal="center"/>
    </xf>
    <xf numFmtId="1" fontId="9" fillId="0" borderId="5" xfId="0" applyNumberFormat="1" applyFont="1" applyBorder="1" applyAlignment="1">
      <alignment horizontal="center"/>
    </xf>
    <xf numFmtId="14" fontId="21" fillId="0" borderId="3" xfId="9" applyNumberFormat="1" applyFont="1" applyFill="1" applyBorder="1" applyAlignment="1">
      <alignment horizontal="center"/>
    </xf>
    <xf numFmtId="9" fontId="11" fillId="0" borderId="10" xfId="1" applyNumberFormat="1" applyFont="1" applyFill="1" applyBorder="1" applyAlignment="1">
      <alignment horizontal="center" wrapText="1" readingOrder="1"/>
    </xf>
    <xf numFmtId="9" fontId="11" fillId="0" borderId="3" xfId="1" applyNumberFormat="1" applyFont="1" applyFill="1" applyBorder="1" applyAlignment="1">
      <alignment horizontal="center" wrapText="1" readingOrder="1"/>
    </xf>
    <xf numFmtId="0" fontId="9" fillId="5" borderId="8" xfId="0" applyFont="1" applyFill="1" applyBorder="1"/>
    <xf numFmtId="175" fontId="9" fillId="0" borderId="0" xfId="0" applyNumberFormat="1" applyFont="1" applyBorder="1"/>
    <xf numFmtId="175" fontId="9" fillId="0" borderId="0" xfId="0" applyNumberFormat="1" applyFont="1" applyFill="1" applyBorder="1" applyAlignment="1">
      <alignment horizontal="right"/>
    </xf>
    <xf numFmtId="175" fontId="9" fillId="0" borderId="6" xfId="0" applyNumberFormat="1" applyFont="1" applyBorder="1" applyAlignment="1">
      <alignment horizontal="right"/>
    </xf>
    <xf numFmtId="175" fontId="9" fillId="0" borderId="4" xfId="0" applyNumberFormat="1" applyFont="1" applyBorder="1"/>
    <xf numFmtId="175" fontId="9" fillId="0" borderId="4" xfId="0" applyNumberFormat="1" applyFont="1" applyFill="1" applyBorder="1" applyAlignment="1">
      <alignment horizontal="right"/>
    </xf>
    <xf numFmtId="175" fontId="9" fillId="0" borderId="5" xfId="0" applyNumberFormat="1" applyFont="1" applyBorder="1" applyAlignment="1">
      <alignment horizontal="right"/>
    </xf>
    <xf numFmtId="0" fontId="17" fillId="0" borderId="3" xfId="0" applyFont="1" applyBorder="1"/>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42" fillId="0" borderId="0" xfId="17" applyFont="1" applyFill="1" applyBorder="1" applyAlignment="1">
      <alignment horizontal="left" vertical="top"/>
    </xf>
    <xf numFmtId="0" fontId="43" fillId="0" borderId="0" xfId="0" applyFont="1" applyAlignment="1">
      <alignment horizontal="left" vertical="top"/>
    </xf>
    <xf numFmtId="0" fontId="44" fillId="0" borderId="0" xfId="0" applyFont="1"/>
    <xf numFmtId="167" fontId="9" fillId="9" borderId="6" xfId="0" applyNumberFormat="1" applyFont="1" applyFill="1" applyBorder="1"/>
    <xf numFmtId="37" fontId="8" fillId="0" borderId="0" xfId="0" applyNumberFormat="1" applyFont="1"/>
    <xf numFmtId="165" fontId="8" fillId="0" borderId="0" xfId="0" applyNumberFormat="1" applyFont="1"/>
    <xf numFmtId="42" fontId="8" fillId="0" borderId="0" xfId="0" applyNumberFormat="1" applyFont="1"/>
    <xf numFmtId="164" fontId="8" fillId="0" borderId="0" xfId="0" applyNumberFormat="1" applyFont="1"/>
    <xf numFmtId="41" fontId="8" fillId="0" borderId="0" xfId="0" applyNumberFormat="1" applyFont="1"/>
    <xf numFmtId="43" fontId="8" fillId="0" borderId="0" xfId="0" applyNumberFormat="1" applyFont="1"/>
    <xf numFmtId="164" fontId="9" fillId="0" borderId="0" xfId="0" applyNumberFormat="1" applyFont="1" applyAlignment="1">
      <alignment horizontal="center"/>
    </xf>
    <xf numFmtId="176" fontId="8" fillId="0" borderId="0" xfId="0" applyNumberFormat="1" applyFont="1"/>
    <xf numFmtId="10" fontId="8" fillId="0" borderId="0" xfId="2" applyNumberFormat="1" applyFont="1"/>
    <xf numFmtId="7" fontId="9" fillId="0" borderId="0" xfId="0" applyNumberFormat="1" applyFont="1" applyBorder="1"/>
    <xf numFmtId="164" fontId="9" fillId="0" borderId="0" xfId="0" applyNumberFormat="1" applyFont="1" applyBorder="1" applyAlignment="1">
      <alignment horizontal="center"/>
    </xf>
    <xf numFmtId="175" fontId="9" fillId="0" borderId="6" xfId="0" applyNumberFormat="1" applyFont="1" applyFill="1" applyBorder="1" applyAlignment="1">
      <alignment horizontal="right"/>
    </xf>
    <xf numFmtId="175" fontId="9" fillId="0" borderId="5" xfId="0" applyNumberFormat="1" applyFont="1" applyFill="1" applyBorder="1" applyAlignment="1">
      <alignment horizontal="right"/>
    </xf>
    <xf numFmtId="43" fontId="9" fillId="0" borderId="0" xfId="0" applyNumberFormat="1" applyFont="1" applyFill="1" applyBorder="1" applyAlignment="1">
      <alignment horizontal="center" vertical="center" wrapText="1"/>
    </xf>
    <xf numFmtId="165" fontId="9" fillId="0" borderId="0" xfId="0" applyNumberFormat="1" applyFont="1" applyFill="1" applyBorder="1"/>
    <xf numFmtId="39" fontId="11" fillId="0" borderId="0" xfId="1" applyNumberFormat="1" applyFont="1" applyFill="1" applyBorder="1" applyAlignment="1">
      <alignment horizontal="left" wrapText="1" readingOrder="1"/>
    </xf>
    <xf numFmtId="0" fontId="45" fillId="0" borderId="0" xfId="17" applyFont="1" applyAlignment="1">
      <alignment horizontal="left"/>
    </xf>
    <xf numFmtId="164" fontId="9" fillId="0" borderId="4" xfId="0" applyNumberFormat="1" applyFont="1" applyBorder="1" applyAlignment="1">
      <alignment horizontal="center"/>
    </xf>
    <xf numFmtId="42" fontId="9" fillId="0" borderId="6" xfId="0" applyNumberFormat="1" applyFont="1" applyBorder="1" applyAlignment="1">
      <alignment horizontal="center"/>
    </xf>
    <xf numFmtId="42" fontId="9" fillId="0" borderId="5" xfId="0" applyNumberFormat="1" applyFont="1" applyBorder="1" applyAlignment="1">
      <alignment horizontal="center"/>
    </xf>
    <xf numFmtId="164" fontId="9" fillId="0" borderId="10" xfId="0" applyNumberFormat="1" applyFont="1" applyFill="1" applyBorder="1" applyAlignment="1">
      <alignment horizontal="center"/>
    </xf>
    <xf numFmtId="164" fontId="9" fillId="0" borderId="3" xfId="0" applyNumberFormat="1" applyFont="1" applyFill="1" applyBorder="1" applyAlignment="1">
      <alignment horizontal="center"/>
    </xf>
    <xf numFmtId="0" fontId="9" fillId="5" borderId="3" xfId="0" applyFont="1" applyFill="1" applyBorder="1"/>
    <xf numFmtId="0" fontId="9" fillId="0" borderId="10" xfId="0" applyFont="1" applyBorder="1" applyAlignment="1">
      <alignment horizontal="left" indent="1"/>
    </xf>
    <xf numFmtId="0" fontId="9" fillId="0" borderId="3" xfId="0" applyFont="1" applyBorder="1" applyAlignment="1">
      <alignment horizontal="left" indent="1"/>
    </xf>
    <xf numFmtId="0" fontId="9" fillId="0" borderId="15" xfId="0" applyFont="1" applyFill="1" applyBorder="1"/>
    <xf numFmtId="42" fontId="9" fillId="0" borderId="6" xfId="0" applyNumberFormat="1" applyFont="1" applyBorder="1"/>
    <xf numFmtId="42" fontId="9" fillId="0" borderId="5" xfId="0" applyNumberFormat="1" applyFont="1" applyBorder="1"/>
    <xf numFmtId="42" fontId="7" fillId="5" borderId="9" xfId="0" applyNumberFormat="1" applyFont="1" applyFill="1" applyBorder="1"/>
    <xf numFmtId="0" fontId="7" fillId="3" borderId="16" xfId="0" applyFont="1" applyFill="1" applyBorder="1" applyAlignment="1">
      <alignment horizontal="center"/>
    </xf>
    <xf numFmtId="0" fontId="7" fillId="3" borderId="17" xfId="0" applyFont="1" applyFill="1" applyBorder="1"/>
    <xf numFmtId="0" fontId="7" fillId="3" borderId="18" xfId="0" applyFont="1" applyFill="1" applyBorder="1" applyAlignment="1">
      <alignment horizontal="center"/>
    </xf>
    <xf numFmtId="0" fontId="9" fillId="0" borderId="16" xfId="0" applyFont="1" applyBorder="1" applyAlignment="1">
      <alignment horizontal="center"/>
    </xf>
    <xf numFmtId="165" fontId="13" fillId="0" borderId="16" xfId="1" applyNumberFormat="1" applyFont="1" applyFill="1" applyBorder="1" applyAlignment="1">
      <alignment horizontal="center" wrapText="1" readingOrder="1"/>
    </xf>
    <xf numFmtId="164" fontId="7" fillId="0" borderId="0" xfId="1" applyNumberFormat="1" applyFont="1" applyFill="1" applyBorder="1" applyAlignment="1">
      <alignment horizontal="left" wrapText="1" readingOrder="1"/>
    </xf>
    <xf numFmtId="165" fontId="7" fillId="0" borderId="16" xfId="0" applyNumberFormat="1" applyFont="1" applyBorder="1" applyAlignment="1">
      <alignment horizontal="center"/>
    </xf>
    <xf numFmtId="0" fontId="9" fillId="0" borderId="18" xfId="0" applyFont="1" applyBorder="1" applyAlignment="1">
      <alignment horizontal="center"/>
    </xf>
    <xf numFmtId="165" fontId="13" fillId="0" borderId="18" xfId="1" applyNumberFormat="1" applyFont="1" applyFill="1" applyBorder="1" applyAlignment="1">
      <alignment horizontal="center" wrapText="1" readingOrder="1"/>
    </xf>
    <xf numFmtId="164" fontId="7" fillId="0" borderId="4" xfId="1" applyNumberFormat="1" applyFont="1" applyFill="1" applyBorder="1" applyAlignment="1">
      <alignment horizontal="left" wrapText="1" readingOrder="1"/>
    </xf>
    <xf numFmtId="41" fontId="7" fillId="0" borderId="4" xfId="0" applyNumberFormat="1" applyFont="1" applyBorder="1"/>
    <xf numFmtId="165" fontId="7" fillId="0" borderId="18" xfId="0" applyNumberFormat="1" applyFont="1" applyBorder="1" applyAlignment="1">
      <alignment horizontal="center"/>
    </xf>
    <xf numFmtId="0" fontId="13" fillId="5" borderId="20" xfId="0" applyFont="1" applyFill="1" applyBorder="1" applyAlignment="1">
      <alignment horizontal="left" vertical="top" wrapText="1" readingOrder="1"/>
    </xf>
    <xf numFmtId="164" fontId="13" fillId="5" borderId="21" xfId="1" applyNumberFormat="1" applyFont="1" applyFill="1" applyBorder="1" applyAlignment="1">
      <alignment horizontal="left" wrapText="1" readingOrder="1"/>
    </xf>
    <xf numFmtId="0" fontId="9" fillId="5" borderId="22" xfId="0" applyFont="1" applyFill="1" applyBorder="1"/>
    <xf numFmtId="9" fontId="13" fillId="5" borderId="22" xfId="1" applyNumberFormat="1" applyFont="1" applyFill="1" applyBorder="1" applyAlignment="1">
      <alignment horizontal="center" wrapText="1" readingOrder="1"/>
    </xf>
    <xf numFmtId="42" fontId="13" fillId="5" borderId="21" xfId="1" applyNumberFormat="1" applyFont="1" applyFill="1" applyBorder="1" applyAlignment="1">
      <alignment horizontal="left" wrapText="1" readingOrder="1"/>
    </xf>
    <xf numFmtId="41" fontId="7" fillId="5" borderId="23" xfId="1" applyNumberFormat="1" applyFont="1" applyFill="1" applyBorder="1" applyAlignment="1"/>
    <xf numFmtId="41" fontId="7" fillId="5" borderId="21" xfId="1" applyNumberFormat="1" applyFont="1" applyFill="1" applyBorder="1" applyAlignment="1"/>
    <xf numFmtId="9" fontId="7" fillId="5" borderId="22" xfId="2" applyFont="1" applyFill="1" applyBorder="1" applyAlignment="1">
      <alignment horizontal="center"/>
    </xf>
    <xf numFmtId="41" fontId="7" fillId="5" borderId="21" xfId="2" applyNumberFormat="1" applyFont="1" applyFill="1" applyBorder="1" applyAlignment="1"/>
    <xf numFmtId="164" fontId="9" fillId="9" borderId="0" xfId="1" applyNumberFormat="1" applyFont="1" applyFill="1" applyBorder="1" applyAlignment="1">
      <alignment horizontal="left" wrapText="1" readingOrder="1"/>
    </xf>
    <xf numFmtId="41" fontId="7" fillId="0" borderId="0" xfId="0" applyNumberFormat="1" applyFont="1" applyBorder="1"/>
    <xf numFmtId="164" fontId="39" fillId="0" borderId="0" xfId="0" applyNumberFormat="1" applyFont="1" applyBorder="1"/>
    <xf numFmtId="0" fontId="5" fillId="4" borderId="24" xfId="0" applyFont="1" applyFill="1" applyBorder="1" applyAlignment="1">
      <alignment horizontal="centerContinuous"/>
    </xf>
    <xf numFmtId="0" fontId="5" fillId="10" borderId="25" xfId="0" applyFont="1" applyFill="1" applyBorder="1" applyAlignment="1">
      <alignment horizontal="centerContinuous"/>
    </xf>
    <xf numFmtId="0" fontId="5" fillId="11" borderId="25" xfId="0" applyFont="1" applyFill="1" applyBorder="1" applyAlignment="1">
      <alignment horizontal="centerContinuous"/>
    </xf>
    <xf numFmtId="0" fontId="5" fillId="12" borderId="25" xfId="0" applyFont="1" applyFill="1" applyBorder="1" applyAlignment="1">
      <alignment horizontal="centerContinuous" vertical="center"/>
    </xf>
    <xf numFmtId="0" fontId="5" fillId="4" borderId="25" xfId="0" applyFont="1" applyFill="1" applyBorder="1" applyAlignment="1">
      <alignment horizontal="centerContinuous" vertical="center"/>
    </xf>
    <xf numFmtId="0" fontId="5" fillId="4" borderId="26" xfId="0" applyFont="1" applyFill="1" applyBorder="1" applyAlignment="1">
      <alignment horizontal="centerContinuous" vertical="center"/>
    </xf>
    <xf numFmtId="0" fontId="7" fillId="3" borderId="19" xfId="0" applyFont="1" applyFill="1" applyBorder="1"/>
    <xf numFmtId="0" fontId="11" fillId="0" borderId="19" xfId="0" applyFont="1" applyFill="1" applyBorder="1" applyAlignment="1">
      <alignment horizontal="left" vertical="top" wrapText="1" readingOrder="1"/>
    </xf>
    <xf numFmtId="0" fontId="9" fillId="0" borderId="19" xfId="0" applyFont="1" applyFill="1" applyBorder="1" applyAlignment="1">
      <alignment horizontal="left" vertical="top" wrapText="1" readingOrder="1"/>
    </xf>
    <xf numFmtId="0" fontId="38" fillId="0" borderId="19" xfId="0" applyFont="1" applyFill="1" applyBorder="1" applyAlignment="1">
      <alignment horizontal="left" vertical="top" wrapText="1" readingOrder="1"/>
    </xf>
    <xf numFmtId="0" fontId="5" fillId="4" borderId="26" xfId="0" applyFont="1" applyFill="1" applyBorder="1" applyAlignment="1">
      <alignment horizontal="centerContinuous"/>
    </xf>
    <xf numFmtId="0" fontId="5" fillId="10" borderId="26" xfId="0" applyFont="1" applyFill="1" applyBorder="1" applyAlignment="1">
      <alignment horizontal="centerContinuous"/>
    </xf>
    <xf numFmtId="0" fontId="5" fillId="11" borderId="26" xfId="0" applyFont="1" applyFill="1" applyBorder="1" applyAlignment="1">
      <alignment horizontal="centerContinuous"/>
    </xf>
    <xf numFmtId="0" fontId="5" fillId="12" borderId="27" xfId="0" applyFont="1" applyFill="1" applyBorder="1" applyAlignment="1">
      <alignment horizontal="centerContinuous" vertical="center"/>
    </xf>
    <xf numFmtId="41" fontId="7" fillId="0" borderId="6" xfId="0" applyNumberFormat="1" applyFont="1" applyFill="1" applyBorder="1" applyAlignment="1"/>
    <xf numFmtId="0" fontId="5" fillId="12" borderId="26" xfId="0" applyFont="1" applyFill="1" applyBorder="1" applyAlignment="1">
      <alignment horizontal="centerContinuous" vertical="center"/>
    </xf>
    <xf numFmtId="0" fontId="38" fillId="0" borderId="17" xfId="0" applyFont="1" applyFill="1" applyBorder="1" applyAlignment="1">
      <alignment horizontal="left" vertical="top" wrapText="1" readingOrder="1"/>
    </xf>
    <xf numFmtId="164" fontId="9" fillId="9" borderId="4" xfId="1" applyNumberFormat="1" applyFont="1" applyFill="1" applyBorder="1" applyAlignment="1">
      <alignment horizontal="left" wrapText="1" readingOrder="1"/>
    </xf>
    <xf numFmtId="41" fontId="7" fillId="0" borderId="5" xfId="0" applyNumberFormat="1" applyFont="1" applyFill="1" applyBorder="1" applyAlignment="1"/>
    <xf numFmtId="165" fontId="7" fillId="0" borderId="16" xfId="0" applyNumberFormat="1" applyFont="1" applyFill="1" applyBorder="1" applyAlignment="1">
      <alignment horizontal="center"/>
    </xf>
    <xf numFmtId="165" fontId="7" fillId="0" borderId="18" xfId="0" applyNumberFormat="1" applyFont="1" applyFill="1" applyBorder="1" applyAlignment="1">
      <alignment horizontal="center"/>
    </xf>
    <xf numFmtId="0" fontId="35" fillId="13" borderId="0" xfId="0" applyFont="1" applyFill="1" applyBorder="1" applyAlignment="1">
      <alignment vertical="center"/>
    </xf>
    <xf numFmtId="0" fontId="36" fillId="13" borderId="0" xfId="0" applyFont="1" applyFill="1" applyBorder="1" applyAlignment="1">
      <alignment vertical="center"/>
    </xf>
    <xf numFmtId="0" fontId="36" fillId="13" borderId="0" xfId="0" applyFont="1" applyFill="1" applyBorder="1"/>
    <xf numFmtId="0" fontId="36" fillId="13" borderId="0" xfId="0" applyFont="1" applyFill="1" applyAlignment="1">
      <alignment vertical="center"/>
    </xf>
    <xf numFmtId="0" fontId="35" fillId="0" borderId="0" xfId="0" applyFont="1"/>
    <xf numFmtId="0" fontId="35" fillId="2" borderId="0" xfId="0" applyFont="1" applyFill="1" applyBorder="1" applyAlignment="1">
      <alignment horizontal="left" indent="1"/>
    </xf>
    <xf numFmtId="0" fontId="9" fillId="0" borderId="0" xfId="0" quotePrefix="1" applyFont="1" applyFill="1" applyBorder="1"/>
    <xf numFmtId="0" fontId="8" fillId="0" borderId="4" xfId="0" applyFont="1" applyFill="1" applyBorder="1"/>
    <xf numFmtId="10" fontId="9" fillId="0" borderId="0" xfId="0" applyNumberFormat="1" applyFont="1" applyBorder="1"/>
    <xf numFmtId="0" fontId="12" fillId="0" borderId="0" xfId="0" applyFont="1" applyBorder="1"/>
    <xf numFmtId="43" fontId="9" fillId="0" borderId="0" xfId="0" applyNumberFormat="1" applyFont="1" applyBorder="1"/>
    <xf numFmtId="164" fontId="9" fillId="0" borderId="0" xfId="0" applyNumberFormat="1" applyFont="1" applyFill="1" applyAlignment="1">
      <alignment horizontal="center"/>
    </xf>
    <xf numFmtId="165" fontId="10" fillId="0" borderId="6" xfId="0" applyNumberFormat="1" applyFont="1" applyBorder="1" applyAlignment="1">
      <alignment horizontal="right"/>
    </xf>
    <xf numFmtId="0" fontId="7" fillId="0" borderId="10" xfId="0" applyFont="1" applyBorder="1"/>
    <xf numFmtId="0" fontId="8" fillId="0" borderId="0" xfId="0" applyFont="1" applyAlignment="1">
      <alignment horizontal="left" vertical="top"/>
    </xf>
    <xf numFmtId="0" fontId="12" fillId="0" borderId="0" xfId="0" applyFont="1" applyFill="1" applyBorder="1" applyAlignment="1">
      <alignment horizontal="left" vertical="center" wrapText="1"/>
    </xf>
    <xf numFmtId="0" fontId="33" fillId="0" borderId="4" xfId="17" applyFont="1" applyFill="1" applyBorder="1" applyAlignment="1">
      <alignment vertical="center"/>
    </xf>
    <xf numFmtId="0" fontId="26" fillId="5" borderId="0" xfId="0" applyFont="1" applyFill="1" applyAlignment="1">
      <alignment horizontal="left" vertical="center" wrapText="1"/>
    </xf>
    <xf numFmtId="0" fontId="27" fillId="5" borderId="0" xfId="17" applyFont="1" applyFill="1" applyBorder="1" applyAlignment="1">
      <alignment horizontal="left" vertical="center" wrapText="1"/>
    </xf>
  </cellXfs>
  <cellStyles count="18">
    <cellStyle name="Comma" xfId="1" builtinId="3"/>
    <cellStyle name="Comma 2" xfId="3" xr:uid="{00000000-0005-0000-0000-000001000000}"/>
    <cellStyle name="Comma 2 2" xfId="13" xr:uid="{32FB7E60-CDAA-46EE-96CA-BD94F2B96750}"/>
    <cellStyle name="Comma 3" xfId="16" xr:uid="{7281562F-AA5E-43BE-BD03-6C9F4D28BB3F}"/>
    <cellStyle name="Currency" xfId="8" builtinId="4"/>
    <cellStyle name="Currency 2" xfId="4" xr:uid="{00000000-0005-0000-0000-000003000000}"/>
    <cellStyle name="Currency 2 2" xfId="15" xr:uid="{B9DBC2E9-1656-43FB-A84F-207B6206B5D6}"/>
    <cellStyle name="Hyperlink" xfId="17" builtinId="8"/>
    <cellStyle name="Normal" xfId="0" builtinId="0"/>
    <cellStyle name="Normal 2" xfId="9" xr:uid="{A794D762-1E56-437F-A733-5CB42EF654BF}"/>
    <cellStyle name="Normal 2 2" xfId="12" xr:uid="{9EC596C2-892B-49AD-84F2-174899BEC8FC}"/>
    <cellStyle name="Normal 3" xfId="5" xr:uid="{00000000-0005-0000-0000-000005000000}"/>
    <cellStyle name="Normal 4" xfId="10" xr:uid="{C0D431F3-59C4-406B-9740-69284B4D1783}"/>
    <cellStyle name="Normal 8" xfId="6" xr:uid="{00000000-0005-0000-0000-000006000000}"/>
    <cellStyle name="Percent" xfId="2" builtinId="5"/>
    <cellStyle name="Percent 2" xfId="7" xr:uid="{00000000-0005-0000-0000-000008000000}"/>
    <cellStyle name="Percent 2 2" xfId="14" xr:uid="{455E6450-24B1-49B4-917C-E97C028C6093}"/>
    <cellStyle name="Percent 3" xfId="11" xr:uid="{2A1C1BC9-6CAC-4A5D-882D-84F7D62F32CE}"/>
  </cellStyles>
  <dxfs count="0"/>
  <tableStyles count="0" defaultTableStyle="TableStyleMedium9" defaultPivotStyle="PivotStyleLight16"/>
  <colors>
    <mruColors>
      <color rgb="FF0000FF"/>
      <color rgb="FFFFFFE7"/>
      <color rgb="FF0094B3"/>
      <color rgb="FFFFFFCC"/>
      <color rgb="FF44546A"/>
      <color rgb="FFD9D9D9"/>
      <color rgb="FF244062"/>
      <color rgb="FFFFFFE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www.s3vc.com/resources/s3-venture-cap-table-template"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twitter.com/S3ventur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linkedin.com/company/s3-ventures"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266327</xdr:colOff>
      <xdr:row>35</xdr:row>
      <xdr:rowOff>294487</xdr:rowOff>
    </xdr:from>
    <xdr:to>
      <xdr:col>3</xdr:col>
      <xdr:colOff>943015</xdr:colOff>
      <xdr:row>37</xdr:row>
      <xdr:rowOff>267090</xdr:rowOff>
    </xdr:to>
    <xdr:pic>
      <xdr:nvPicPr>
        <xdr:cNvPr id="3" name="Picture 2">
          <a:hlinkClick xmlns:r="http://schemas.openxmlformats.org/officeDocument/2006/relationships" r:id="rId1"/>
          <a:extLst>
            <a:ext uri="{FF2B5EF4-FFF2-40B4-BE49-F238E27FC236}">
              <a16:creationId xmlns:a16="http://schemas.microsoft.com/office/drawing/2014/main" id="{1D9165C7-F1D2-4845-B1A1-2FE2D3717815}"/>
            </a:ext>
          </a:extLst>
        </xdr:cNvPr>
        <xdr:cNvPicPr>
          <a:picLocks noChangeAspect="1"/>
        </xdr:cNvPicPr>
      </xdr:nvPicPr>
      <xdr:blipFill>
        <a:blip xmlns:r="http://schemas.openxmlformats.org/officeDocument/2006/relationships" r:embed="rId2"/>
        <a:stretch>
          <a:fillRect/>
        </a:stretch>
      </xdr:blipFill>
      <xdr:spPr>
        <a:xfrm>
          <a:off x="440952" y="5469737"/>
          <a:ext cx="1705388" cy="683803"/>
        </a:xfrm>
        <a:prstGeom prst="rect">
          <a:avLst/>
        </a:prstGeom>
      </xdr:spPr>
    </xdr:pic>
    <xdr:clientData/>
  </xdr:twoCellAnchor>
  <xdr:twoCellAnchor editAs="oneCell">
    <xdr:from>
      <xdr:col>10</xdr:col>
      <xdr:colOff>205</xdr:colOff>
      <xdr:row>38</xdr:row>
      <xdr:rowOff>116841</xdr:rowOff>
    </xdr:from>
    <xdr:to>
      <xdr:col>10</xdr:col>
      <xdr:colOff>217622</xdr:colOff>
      <xdr:row>38</xdr:row>
      <xdr:rowOff>297654</xdr:rowOff>
    </xdr:to>
    <xdr:pic>
      <xdr:nvPicPr>
        <xdr:cNvPr id="4" name="Picture 3">
          <a:hlinkClick xmlns:r="http://schemas.openxmlformats.org/officeDocument/2006/relationships" r:id="rId3"/>
          <a:extLst>
            <a:ext uri="{FF2B5EF4-FFF2-40B4-BE49-F238E27FC236}">
              <a16:creationId xmlns:a16="http://schemas.microsoft.com/office/drawing/2014/main" id="{1432D06E-C86E-4058-8374-C8226C1FA638}"/>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540705" y="7345258"/>
          <a:ext cx="217417" cy="180813"/>
        </a:xfrm>
        <a:prstGeom prst="rect">
          <a:avLst/>
        </a:prstGeom>
      </xdr:spPr>
    </xdr:pic>
    <xdr:clientData/>
  </xdr:twoCellAnchor>
  <xdr:twoCellAnchor editAs="oneCell">
    <xdr:from>
      <xdr:col>10</xdr:col>
      <xdr:colOff>632190</xdr:colOff>
      <xdr:row>38</xdr:row>
      <xdr:rowOff>103758</xdr:rowOff>
    </xdr:from>
    <xdr:to>
      <xdr:col>11</xdr:col>
      <xdr:colOff>138854</xdr:colOff>
      <xdr:row>38</xdr:row>
      <xdr:rowOff>315541</xdr:rowOff>
    </xdr:to>
    <xdr:pic>
      <xdr:nvPicPr>
        <xdr:cNvPr id="6" name="Picture 5">
          <a:hlinkClick xmlns:r="http://schemas.openxmlformats.org/officeDocument/2006/relationships" r:id="rId5"/>
          <a:extLst>
            <a:ext uri="{FF2B5EF4-FFF2-40B4-BE49-F238E27FC236}">
              <a16:creationId xmlns:a16="http://schemas.microsoft.com/office/drawing/2014/main" id="{E9603B22-0AB3-4A72-A5F4-5A1E021ADB38}"/>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172690" y="7332175"/>
          <a:ext cx="236914" cy="211783"/>
        </a:xfrm>
        <a:prstGeom prst="rect">
          <a:avLst/>
        </a:prstGeom>
      </xdr:spPr>
    </xdr:pic>
    <xdr:clientData/>
  </xdr:twoCellAnchor>
  <xdr:twoCellAnchor editAs="oneCell">
    <xdr:from>
      <xdr:col>16</xdr:col>
      <xdr:colOff>166677</xdr:colOff>
      <xdr:row>1</xdr:row>
      <xdr:rowOff>142870</xdr:rowOff>
    </xdr:from>
    <xdr:to>
      <xdr:col>18</xdr:col>
      <xdr:colOff>1065510</xdr:colOff>
      <xdr:row>13</xdr:row>
      <xdr:rowOff>93744</xdr:rowOff>
    </xdr:to>
    <xdr:pic>
      <xdr:nvPicPr>
        <xdr:cNvPr id="8" name="Picture 7" descr="A capitalization table, or “cap table” for short, is a list of a company’s securities (common stock, preferred stock, options, warrants, etc.) and who owns those securities. Keeping this information organized and up-to-date is critical to making quick, well-informed decisions regarding fundraising, employee options, and acquisition offers.">
          <a:hlinkClick xmlns:r="http://schemas.openxmlformats.org/officeDocument/2006/relationships" r:id="rId7"/>
          <a:extLst>
            <a:ext uri="{FF2B5EF4-FFF2-40B4-BE49-F238E27FC236}">
              <a16:creationId xmlns:a16="http://schemas.microsoft.com/office/drawing/2014/main" id="{50407FE4-1784-407C-A41F-79952FBDD53D}"/>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564927" y="380995"/>
          <a:ext cx="2329171" cy="23601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322794</xdr:colOff>
      <xdr:row>38</xdr:row>
      <xdr:rowOff>76272</xdr:rowOff>
    </xdr:from>
    <xdr:to>
      <xdr:col>10</xdr:col>
      <xdr:colOff>540624</xdr:colOff>
      <xdr:row>38</xdr:row>
      <xdr:rowOff>322347</xdr:rowOff>
    </xdr:to>
    <xdr:pic>
      <xdr:nvPicPr>
        <xdr:cNvPr id="7" name="Picture 6">
          <a:hlinkClick xmlns:r="http://schemas.openxmlformats.org/officeDocument/2006/relationships" r:id="rId9"/>
          <a:extLst>
            <a:ext uri="{FF2B5EF4-FFF2-40B4-BE49-F238E27FC236}">
              <a16:creationId xmlns:a16="http://schemas.microsoft.com/office/drawing/2014/main" id="{781F90E4-A63F-41A2-B9EE-803F819E9901}"/>
            </a:ext>
          </a:extLst>
        </xdr:cNvPr>
        <xdr:cNvPicPr>
          <a:picLocks noChangeAspect="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863294" y="7304689"/>
          <a:ext cx="217830" cy="246075"/>
        </a:xfrm>
        <a:prstGeom prst="rect">
          <a:avLst/>
        </a:prstGeom>
      </xdr:spPr>
    </xdr:pic>
    <xdr:clientData/>
  </xdr:twoCellAnchor>
</xdr:wsDr>
</file>

<file path=xl/theme/theme1.xml><?xml version="1.0" encoding="utf-8"?>
<a:theme xmlns:a="http://schemas.openxmlformats.org/drawingml/2006/main" name="S3 Ventures Theme 2021">
  <a:themeElements>
    <a:clrScheme name="2020 S3 Colors">
      <a:dk1>
        <a:srgbClr val="000000"/>
      </a:dk1>
      <a:lt1>
        <a:srgbClr val="FFFFFF"/>
      </a:lt1>
      <a:dk2>
        <a:srgbClr val="4B5F74"/>
      </a:dk2>
      <a:lt2>
        <a:srgbClr val="007DA0"/>
      </a:lt2>
      <a:accent1>
        <a:srgbClr val="4B5F74"/>
      </a:accent1>
      <a:accent2>
        <a:srgbClr val="007DA0"/>
      </a:accent2>
      <a:accent3>
        <a:srgbClr val="D8D7DB"/>
      </a:accent3>
      <a:accent4>
        <a:srgbClr val="00C3EF"/>
      </a:accent4>
      <a:accent5>
        <a:srgbClr val="55FAC6"/>
      </a:accent5>
      <a:accent6>
        <a:srgbClr val="FF763B"/>
      </a:accent6>
      <a:hlink>
        <a:srgbClr val="00C3EF"/>
      </a:hlink>
      <a:folHlink>
        <a:srgbClr val="D8D7DB"/>
      </a:folHlink>
    </a:clrScheme>
    <a:fontScheme name="Custom 1">
      <a:majorFont>
        <a:latin typeface="Oswal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3 Ventures Theme 2021" id="{7EF1D178-F71D-4442-BF8D-3B0D8F8A585E}" vid="{78241341-3F10-4B27-87FC-A95B693E2CE1}"/>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3vc.com/abouts3" TargetMode="External"/><Relationship Id="rId2" Type="http://schemas.openxmlformats.org/officeDocument/2006/relationships/hyperlink" Target="https://www.s3vc.com/s3-resources" TargetMode="External"/><Relationship Id="rId1" Type="http://schemas.openxmlformats.org/officeDocument/2006/relationships/hyperlink" Target="https://www.s3vc.com/newslett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3vc.com/terms-of-u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autoPageBreaks="0" fitToPage="1"/>
  </sheetPr>
  <dimension ref="A1:V44"/>
  <sheetViews>
    <sheetView showGridLines="0" tabSelected="1" zoomScaleNormal="100" workbookViewId="0"/>
  </sheetViews>
  <sheetFormatPr defaultColWidth="9.265625" defaultRowHeight="13.5" customHeight="1" x14ac:dyDescent="0.35"/>
  <cols>
    <col min="1" max="1" width="2.1328125" style="2" customWidth="1"/>
    <col min="2" max="2" width="3.265625" style="2" customWidth="1"/>
    <col min="3" max="3" width="9.265625" style="2"/>
    <col min="4" max="4" width="12.73046875" style="2" customWidth="1"/>
    <col min="5" max="13" width="9.265625" style="2"/>
    <col min="14" max="14" width="10.59765625" style="2" customWidth="1"/>
    <col min="15" max="17" width="9.265625" style="2"/>
    <col min="18" max="18" width="7" style="2" customWidth="1"/>
    <col min="19" max="19" width="14.1328125" style="2" customWidth="1"/>
    <col min="20" max="20" width="2.46484375" style="2" customWidth="1"/>
    <col min="21" max="16384" width="9.265625" style="2"/>
  </cols>
  <sheetData>
    <row r="1" spans="1:22" ht="18.649999999999999" customHeight="1" x14ac:dyDescent="0.5">
      <c r="A1" s="142" t="s">
        <v>0</v>
      </c>
      <c r="B1" s="125" t="s">
        <v>1</v>
      </c>
      <c r="C1" s="125"/>
      <c r="D1" s="125"/>
      <c r="E1" s="125"/>
      <c r="F1" s="125"/>
      <c r="G1" s="125"/>
      <c r="H1" s="125"/>
      <c r="I1" s="125"/>
      <c r="J1" s="125"/>
      <c r="K1" s="125"/>
      <c r="L1" s="125"/>
      <c r="M1" s="125"/>
      <c r="N1" s="125"/>
      <c r="O1" s="125"/>
      <c r="P1" s="125"/>
      <c r="Q1" s="125"/>
      <c r="R1" s="125"/>
      <c r="S1" s="125"/>
      <c r="T1" s="210" t="s">
        <v>223</v>
      </c>
    </row>
    <row r="2" spans="1:22" ht="18.649999999999999" customHeight="1" x14ac:dyDescent="0.35"/>
    <row r="3" spans="1:22" ht="13" customHeight="1" x14ac:dyDescent="0.35">
      <c r="B3" s="148" t="s">
        <v>2</v>
      </c>
      <c r="C3" s="149"/>
      <c r="D3" s="149"/>
      <c r="E3" s="149"/>
      <c r="F3" s="149"/>
      <c r="G3" s="149"/>
      <c r="H3" s="149"/>
      <c r="I3" s="149"/>
      <c r="J3" s="149"/>
      <c r="K3" s="149"/>
      <c r="L3" s="149"/>
      <c r="M3" s="149"/>
      <c r="N3" s="149"/>
      <c r="O3" s="149"/>
      <c r="P3" s="149"/>
      <c r="Q3" s="149"/>
      <c r="R3" s="149"/>
      <c r="S3" s="5"/>
    </row>
    <row r="4" spans="1:22" ht="18.649999999999999" customHeight="1" x14ac:dyDescent="0.35">
      <c r="B4" s="150"/>
      <c r="C4" s="151" t="s">
        <v>3</v>
      </c>
      <c r="D4" s="149"/>
      <c r="E4" s="149"/>
      <c r="F4" s="149"/>
      <c r="G4" s="149"/>
      <c r="H4" s="149"/>
      <c r="I4" s="149"/>
      <c r="J4" s="149"/>
      <c r="K4" s="149"/>
      <c r="L4" s="149"/>
      <c r="M4" s="149"/>
      <c r="N4" s="149"/>
      <c r="O4" s="149"/>
      <c r="P4" s="149"/>
      <c r="Q4" s="149"/>
      <c r="R4" s="150"/>
    </row>
    <row r="5" spans="1:22" ht="18.649999999999999" customHeight="1" x14ac:dyDescent="0.35">
      <c r="B5" s="150"/>
      <c r="C5" s="151" t="s">
        <v>4</v>
      </c>
      <c r="D5" s="149"/>
      <c r="E5" s="149"/>
      <c r="F5" s="149"/>
      <c r="G5" s="149"/>
      <c r="H5" s="149"/>
      <c r="I5" s="149"/>
      <c r="J5" s="149"/>
      <c r="K5" s="149"/>
      <c r="L5" s="149"/>
      <c r="M5" s="149"/>
      <c r="N5" s="149"/>
      <c r="O5" s="149"/>
      <c r="P5" s="149"/>
      <c r="Q5" s="149"/>
      <c r="R5" s="150"/>
    </row>
    <row r="6" spans="1:22" ht="18.649999999999999" customHeight="1" x14ac:dyDescent="0.35">
      <c r="B6" s="150"/>
      <c r="C6" s="151" t="s">
        <v>5</v>
      </c>
      <c r="D6" s="149"/>
      <c r="E6" s="149"/>
      <c r="F6" s="149"/>
      <c r="G6" s="149"/>
      <c r="H6" s="149"/>
      <c r="I6" s="149"/>
      <c r="J6" s="149"/>
      <c r="K6" s="149"/>
      <c r="L6" s="149"/>
      <c r="M6" s="149"/>
      <c r="N6" s="149"/>
      <c r="O6" s="149"/>
      <c r="P6" s="149"/>
      <c r="Q6" s="149"/>
      <c r="R6" s="150"/>
    </row>
    <row r="7" spans="1:22" ht="18.649999999999999" customHeight="1" x14ac:dyDescent="0.35">
      <c r="B7" s="150"/>
      <c r="C7" s="151" t="s">
        <v>6</v>
      </c>
      <c r="D7" s="149"/>
      <c r="E7" s="149"/>
      <c r="F7" s="149"/>
      <c r="G7" s="149"/>
      <c r="H7" s="149"/>
      <c r="I7" s="149"/>
      <c r="J7" s="149"/>
      <c r="K7" s="149"/>
      <c r="L7" s="149"/>
      <c r="M7" s="149"/>
      <c r="N7" s="149"/>
      <c r="O7" s="149"/>
      <c r="P7" s="149"/>
      <c r="Q7" s="149"/>
      <c r="R7" s="150"/>
    </row>
    <row r="8" spans="1:22" ht="11.5" customHeight="1" x14ac:dyDescent="0.35">
      <c r="B8" s="150"/>
      <c r="C8" s="150"/>
      <c r="D8" s="149"/>
      <c r="E8" s="149"/>
      <c r="F8" s="149"/>
      <c r="G8" s="149"/>
      <c r="H8" s="149"/>
      <c r="I8" s="149"/>
      <c r="J8" s="149"/>
      <c r="K8" s="149"/>
      <c r="L8" s="149"/>
      <c r="M8" s="149"/>
      <c r="N8" s="149"/>
      <c r="O8" s="149"/>
      <c r="P8" s="149"/>
      <c r="Q8" s="149"/>
      <c r="R8" s="150"/>
    </row>
    <row r="9" spans="1:22" ht="11.5" customHeight="1" x14ac:dyDescent="0.35">
      <c r="B9" s="434" t="s">
        <v>204</v>
      </c>
      <c r="D9" s="149"/>
      <c r="E9" s="149"/>
      <c r="F9" s="149"/>
      <c r="G9" s="149"/>
      <c r="H9" s="149"/>
      <c r="I9" s="149"/>
      <c r="J9" s="149"/>
      <c r="K9" s="149"/>
      <c r="L9" s="149"/>
      <c r="M9" s="149"/>
      <c r="N9" s="149"/>
      <c r="O9" s="149"/>
      <c r="P9" s="149"/>
      <c r="Q9" s="149"/>
      <c r="R9" s="150"/>
    </row>
    <row r="10" spans="1:22" ht="11.5" customHeight="1" x14ac:dyDescent="0.35">
      <c r="B10" s="434"/>
      <c r="D10" s="149"/>
      <c r="E10" s="149"/>
      <c r="F10" s="149"/>
      <c r="G10" s="149"/>
      <c r="H10" s="149"/>
      <c r="I10" s="149"/>
      <c r="J10" s="149"/>
      <c r="K10" s="149"/>
      <c r="L10" s="149"/>
      <c r="M10" s="149"/>
      <c r="N10" s="149"/>
      <c r="O10" s="149"/>
      <c r="P10" s="149"/>
      <c r="Q10" s="149"/>
      <c r="R10" s="150"/>
    </row>
    <row r="11" spans="1:22" ht="17.149999999999999" customHeight="1" x14ac:dyDescent="0.35">
      <c r="B11" s="430"/>
      <c r="C11" s="430" t="s">
        <v>202</v>
      </c>
      <c r="D11" s="431"/>
      <c r="E11" s="431"/>
      <c r="F11" s="431"/>
      <c r="G11" s="431"/>
      <c r="H11" s="431"/>
      <c r="I11" s="431"/>
      <c r="J11" s="431"/>
      <c r="K11" s="432"/>
      <c r="L11" s="149"/>
      <c r="M11" s="149"/>
      <c r="N11" s="149"/>
      <c r="O11" s="149"/>
      <c r="P11" s="149"/>
      <c r="Q11" s="149"/>
      <c r="R11" s="150"/>
    </row>
    <row r="12" spans="1:22" ht="16" customHeight="1" x14ac:dyDescent="0.35">
      <c r="B12" s="433"/>
      <c r="C12" s="431" t="s">
        <v>203</v>
      </c>
      <c r="D12" s="431"/>
      <c r="E12" s="431"/>
      <c r="F12" s="431"/>
      <c r="G12" s="431"/>
      <c r="H12" s="431"/>
      <c r="I12" s="431"/>
      <c r="J12" s="431"/>
      <c r="K12" s="432"/>
      <c r="L12" s="149"/>
      <c r="M12" s="149"/>
      <c r="N12" s="149"/>
      <c r="O12" s="149"/>
      <c r="P12" s="149"/>
      <c r="Q12" s="149"/>
      <c r="R12" s="150"/>
    </row>
    <row r="13" spans="1:22" ht="15.65" customHeight="1" x14ac:dyDescent="0.35">
      <c r="B13" s="150"/>
      <c r="C13" s="152"/>
      <c r="D13" s="149"/>
      <c r="E13" s="149"/>
      <c r="F13" s="149"/>
      <c r="G13" s="149"/>
      <c r="H13" s="149"/>
      <c r="I13" s="149"/>
      <c r="J13" s="149"/>
      <c r="K13" s="149"/>
      <c r="L13" s="149"/>
      <c r="M13" s="149"/>
      <c r="N13" s="149"/>
      <c r="O13" s="149"/>
      <c r="P13" s="149"/>
      <c r="Q13" s="149"/>
      <c r="R13" s="150"/>
    </row>
    <row r="14" spans="1:22" ht="16.5" customHeight="1" x14ac:dyDescent="0.35">
      <c r="C14" s="152" t="s">
        <v>7</v>
      </c>
      <c r="D14" s="150"/>
      <c r="E14" s="150"/>
      <c r="F14" s="150"/>
      <c r="G14" s="150"/>
      <c r="H14" s="150"/>
      <c r="I14" s="150"/>
      <c r="J14" s="150"/>
      <c r="K14" s="150"/>
      <c r="L14" s="150"/>
      <c r="M14" s="150"/>
      <c r="N14" s="150"/>
      <c r="O14" s="150"/>
      <c r="P14" s="150"/>
      <c r="Q14" s="150"/>
      <c r="R14" s="150"/>
      <c r="V14" s="84"/>
    </row>
    <row r="15" spans="1:22" ht="17.149999999999999" customHeight="1" x14ac:dyDescent="0.35">
      <c r="C15" s="152" t="s">
        <v>8</v>
      </c>
      <c r="D15" s="150"/>
      <c r="E15" s="150"/>
      <c r="F15" s="150"/>
      <c r="G15" s="150"/>
      <c r="H15" s="150"/>
      <c r="I15" s="150"/>
      <c r="J15" s="150"/>
      <c r="K15" s="150"/>
      <c r="L15" s="150"/>
      <c r="M15" s="150"/>
      <c r="N15" s="150"/>
      <c r="O15" s="150"/>
      <c r="P15" s="150"/>
      <c r="Q15" s="150"/>
      <c r="R15" s="150"/>
    </row>
    <row r="16" spans="1:22" ht="17.149999999999999" customHeight="1" x14ac:dyDescent="0.35">
      <c r="C16" s="152" t="s">
        <v>9</v>
      </c>
      <c r="D16" s="150"/>
      <c r="E16" s="150"/>
      <c r="F16" s="150"/>
      <c r="G16" s="150"/>
      <c r="H16" s="150"/>
      <c r="I16" s="150"/>
      <c r="J16" s="150"/>
      <c r="K16" s="150"/>
      <c r="L16" s="150"/>
      <c r="M16" s="150"/>
      <c r="N16" s="150"/>
      <c r="O16" s="150"/>
      <c r="P16" s="150"/>
      <c r="Q16" s="150"/>
      <c r="R16" s="150"/>
    </row>
    <row r="17" spans="2:18" ht="11.15" customHeight="1" x14ac:dyDescent="0.35">
      <c r="B17" s="152"/>
      <c r="C17" s="149"/>
      <c r="D17" s="149"/>
      <c r="E17" s="149"/>
      <c r="F17" s="149"/>
      <c r="G17" s="149"/>
      <c r="H17" s="149"/>
      <c r="I17" s="149"/>
      <c r="J17" s="149"/>
      <c r="K17" s="149"/>
      <c r="L17" s="149"/>
      <c r="M17" s="149"/>
      <c r="N17" s="149"/>
      <c r="O17" s="149"/>
      <c r="P17" s="149"/>
      <c r="Q17" s="149"/>
      <c r="R17" s="150"/>
    </row>
    <row r="18" spans="2:18" ht="18.649999999999999" customHeight="1" x14ac:dyDescent="0.35">
      <c r="C18" s="148" t="s">
        <v>10</v>
      </c>
      <c r="D18" s="150"/>
      <c r="E18" s="150"/>
      <c r="F18" s="150"/>
      <c r="G18" s="150"/>
      <c r="H18" s="150"/>
      <c r="I18" s="150"/>
      <c r="J18" s="150"/>
      <c r="K18" s="150"/>
      <c r="L18" s="150"/>
      <c r="M18" s="150"/>
      <c r="N18" s="150"/>
      <c r="O18" s="150"/>
      <c r="P18" s="150"/>
      <c r="Q18" s="150"/>
      <c r="R18" s="150"/>
    </row>
    <row r="19" spans="2:18" ht="18.649999999999999" customHeight="1" x14ac:dyDescent="0.35">
      <c r="B19" s="150"/>
      <c r="C19" s="435" t="s">
        <v>11</v>
      </c>
      <c r="D19" s="149"/>
      <c r="E19" s="149"/>
      <c r="F19" s="149"/>
      <c r="G19" s="149"/>
      <c r="H19" s="149"/>
      <c r="I19" s="149"/>
      <c r="J19" s="149"/>
      <c r="K19" s="149"/>
      <c r="L19" s="149"/>
      <c r="M19" s="149"/>
      <c r="N19" s="149"/>
      <c r="O19" s="149"/>
      <c r="P19" s="149"/>
      <c r="Q19" s="149"/>
      <c r="R19" s="150"/>
    </row>
    <row r="20" spans="2:18" ht="18.649999999999999" customHeight="1" x14ac:dyDescent="0.35">
      <c r="B20" s="150"/>
      <c r="C20" s="435" t="s">
        <v>12</v>
      </c>
      <c r="D20" s="149"/>
      <c r="E20" s="149"/>
      <c r="F20" s="149"/>
      <c r="G20" s="149"/>
      <c r="H20" s="149"/>
      <c r="I20" s="149"/>
      <c r="J20" s="149"/>
      <c r="K20" s="149"/>
      <c r="L20" s="149"/>
      <c r="M20" s="149"/>
      <c r="N20" s="149"/>
      <c r="O20" s="149"/>
      <c r="P20" s="149"/>
      <c r="Q20" s="149"/>
      <c r="R20" s="150"/>
    </row>
    <row r="21" spans="2:18" ht="18.649999999999999" customHeight="1" x14ac:dyDescent="0.35">
      <c r="B21" s="150"/>
      <c r="C21" s="435" t="s">
        <v>13</v>
      </c>
      <c r="D21" s="149"/>
      <c r="E21" s="149"/>
      <c r="F21" s="149"/>
      <c r="G21" s="149"/>
      <c r="H21" s="149"/>
      <c r="I21" s="149"/>
      <c r="J21" s="149"/>
      <c r="K21" s="149"/>
      <c r="L21" s="149"/>
      <c r="M21" s="149"/>
      <c r="N21" s="149"/>
      <c r="O21" s="149"/>
      <c r="P21" s="149"/>
      <c r="Q21" s="149"/>
      <c r="R21" s="150"/>
    </row>
    <row r="22" spans="2:18" ht="18.649999999999999" customHeight="1" x14ac:dyDescent="0.35">
      <c r="B22" s="150"/>
      <c r="C22" s="435" t="s">
        <v>14</v>
      </c>
      <c r="D22" s="149"/>
      <c r="E22" s="149"/>
      <c r="F22" s="149"/>
      <c r="G22" s="149"/>
      <c r="H22" s="149"/>
      <c r="I22" s="149"/>
      <c r="J22" s="149"/>
      <c r="K22" s="149"/>
      <c r="L22" s="149"/>
      <c r="M22" s="149"/>
      <c r="N22" s="149"/>
      <c r="O22" s="149"/>
      <c r="P22" s="149"/>
      <c r="Q22" s="149"/>
      <c r="R22" s="150"/>
    </row>
    <row r="23" spans="2:18" ht="18.649999999999999" customHeight="1" x14ac:dyDescent="0.35">
      <c r="B23" s="150"/>
      <c r="C23" s="148"/>
      <c r="D23" s="149"/>
      <c r="E23" s="149"/>
      <c r="F23" s="149"/>
      <c r="G23" s="149"/>
      <c r="H23" s="149"/>
      <c r="I23" s="149"/>
      <c r="J23" s="149"/>
      <c r="K23" s="149"/>
      <c r="L23" s="149"/>
      <c r="M23" s="149"/>
      <c r="N23" s="149"/>
      <c r="O23" s="149"/>
      <c r="P23" s="149"/>
      <c r="Q23" s="149"/>
      <c r="R23" s="150"/>
    </row>
    <row r="24" spans="2:18" ht="18.649999999999999" customHeight="1" x14ac:dyDescent="0.35">
      <c r="B24" s="352" t="s">
        <v>15</v>
      </c>
      <c r="C24" s="352"/>
      <c r="D24" s="353"/>
      <c r="E24" s="149"/>
      <c r="F24" s="149"/>
      <c r="G24" s="149"/>
      <c r="H24" s="149"/>
      <c r="I24" s="149"/>
      <c r="J24" s="149"/>
      <c r="K24" s="149"/>
      <c r="L24" s="149"/>
      <c r="M24" s="149"/>
      <c r="N24" s="149"/>
      <c r="O24" s="149"/>
      <c r="P24" s="149"/>
      <c r="Q24" s="149"/>
      <c r="R24" s="150"/>
    </row>
    <row r="25" spans="2:18" ht="18.649999999999999" customHeight="1" x14ac:dyDescent="0.35">
      <c r="B25" s="352"/>
      <c r="C25" s="354" t="s">
        <v>223</v>
      </c>
      <c r="D25" s="353"/>
      <c r="E25" s="149"/>
      <c r="F25" s="149"/>
      <c r="G25" s="149"/>
      <c r="H25" s="149"/>
      <c r="I25" s="149"/>
      <c r="J25" s="149"/>
      <c r="K25" s="149"/>
      <c r="L25" s="149"/>
      <c r="M25" s="149"/>
      <c r="N25" s="149"/>
      <c r="O25" s="149"/>
      <c r="P25" s="149"/>
      <c r="Q25" s="149"/>
      <c r="R25" s="150"/>
    </row>
    <row r="26" spans="2:18" ht="18" customHeight="1" x14ac:dyDescent="0.35">
      <c r="B26" s="352"/>
      <c r="C26" s="352"/>
      <c r="D26" s="444" t="s">
        <v>229</v>
      </c>
      <c r="E26" s="149"/>
      <c r="F26" s="149"/>
      <c r="G26" s="149"/>
      <c r="H26" s="149"/>
      <c r="I26" s="149"/>
      <c r="J26" s="149"/>
      <c r="K26" s="149"/>
      <c r="L26" s="149"/>
      <c r="M26" s="149"/>
      <c r="N26" s="149"/>
      <c r="O26" s="149"/>
      <c r="P26" s="149"/>
      <c r="Q26" s="149"/>
      <c r="R26" s="150"/>
    </row>
    <row r="27" spans="2:18" ht="18" customHeight="1" x14ac:dyDescent="0.35">
      <c r="B27" s="352"/>
      <c r="C27" s="352"/>
      <c r="D27" s="444" t="s">
        <v>230</v>
      </c>
      <c r="E27" s="149"/>
      <c r="F27" s="149"/>
      <c r="G27" s="149"/>
      <c r="H27" s="149"/>
      <c r="I27" s="149"/>
      <c r="J27" s="149"/>
      <c r="K27" s="149"/>
      <c r="L27" s="149"/>
      <c r="M27" s="149"/>
      <c r="N27" s="149"/>
      <c r="O27" s="149"/>
      <c r="P27" s="149"/>
      <c r="Q27" s="149"/>
      <c r="R27" s="150"/>
    </row>
    <row r="28" spans="2:18" ht="18" customHeight="1" x14ac:dyDescent="0.35">
      <c r="B28" s="352"/>
      <c r="C28" s="352"/>
      <c r="D28" s="444" t="s">
        <v>231</v>
      </c>
      <c r="E28" s="149"/>
      <c r="F28" s="149"/>
      <c r="G28" s="149"/>
      <c r="H28" s="149"/>
      <c r="I28" s="149"/>
      <c r="J28" s="149"/>
      <c r="K28" s="149"/>
      <c r="L28" s="149"/>
      <c r="M28" s="149"/>
      <c r="N28" s="149"/>
      <c r="O28" s="149"/>
      <c r="P28" s="149"/>
      <c r="Q28" s="149"/>
      <c r="R28" s="150"/>
    </row>
    <row r="29" spans="2:18" ht="18.649999999999999" customHeight="1" x14ac:dyDescent="0.35">
      <c r="B29" s="352"/>
      <c r="C29" s="354" t="s">
        <v>182</v>
      </c>
      <c r="E29" s="149"/>
      <c r="F29" s="149"/>
      <c r="G29" s="149"/>
      <c r="H29" s="149"/>
      <c r="I29" s="149"/>
      <c r="J29" s="149"/>
      <c r="K29" s="149"/>
      <c r="L29" s="149"/>
      <c r="M29" s="149"/>
      <c r="N29" s="149"/>
      <c r="O29" s="149"/>
      <c r="P29" s="149"/>
      <c r="Q29" s="149"/>
      <c r="R29" s="150"/>
    </row>
    <row r="30" spans="2:18" ht="18.649999999999999" customHeight="1" x14ac:dyDescent="0.35">
      <c r="B30" s="352"/>
      <c r="C30" s="148"/>
      <c r="D30" s="2" t="s">
        <v>180</v>
      </c>
      <c r="E30" s="149"/>
      <c r="F30" s="149"/>
      <c r="G30" s="149"/>
      <c r="H30" s="149"/>
      <c r="I30" s="149"/>
      <c r="J30" s="149"/>
      <c r="K30" s="149"/>
      <c r="L30" s="149"/>
      <c r="M30" s="149"/>
      <c r="N30" s="149"/>
      <c r="P30" s="372" t="s">
        <v>181</v>
      </c>
      <c r="R30" s="150"/>
    </row>
    <row r="31" spans="2:18" ht="18.75" customHeight="1" x14ac:dyDescent="0.35">
      <c r="B31" s="352"/>
      <c r="C31" s="354" t="s">
        <v>183</v>
      </c>
      <c r="D31" s="353"/>
      <c r="E31" s="149"/>
      <c r="F31" s="149"/>
      <c r="G31" s="149"/>
      <c r="H31" s="149"/>
      <c r="I31" s="149"/>
      <c r="J31" s="149"/>
      <c r="K31" s="149"/>
      <c r="L31" s="149"/>
      <c r="M31" s="149"/>
      <c r="N31" s="149"/>
      <c r="O31" s="149"/>
      <c r="P31" s="149"/>
      <c r="Q31" s="149"/>
      <c r="R31" s="150"/>
    </row>
    <row r="32" spans="2:18" ht="18.649999999999999" customHeight="1" x14ac:dyDescent="0.35">
      <c r="B32" s="352"/>
      <c r="C32" s="352"/>
      <c r="D32" s="2" t="s">
        <v>179</v>
      </c>
      <c r="E32" s="149"/>
      <c r="F32" s="149"/>
      <c r="G32" s="149"/>
      <c r="H32" s="149"/>
      <c r="I32" s="149"/>
      <c r="J32" s="149"/>
      <c r="K32" s="149"/>
      <c r="L32" s="149"/>
      <c r="M32" s="149"/>
      <c r="N32" s="149"/>
      <c r="O32" s="149"/>
      <c r="P32" s="149"/>
      <c r="Q32" s="149"/>
      <c r="R32" s="150"/>
    </row>
    <row r="33" spans="2:20" ht="18.649999999999999" customHeight="1" x14ac:dyDescent="0.35">
      <c r="B33" s="352"/>
      <c r="C33" s="352"/>
      <c r="D33" s="2" t="s">
        <v>178</v>
      </c>
      <c r="E33" s="149"/>
      <c r="F33" s="149"/>
      <c r="G33" s="149"/>
      <c r="H33" s="149"/>
      <c r="I33" s="149"/>
      <c r="J33" s="149"/>
      <c r="K33" s="149"/>
      <c r="L33" s="149"/>
      <c r="M33" s="149"/>
      <c r="N33" s="149"/>
      <c r="O33" s="149"/>
      <c r="P33" s="149"/>
      <c r="Q33" s="149"/>
      <c r="R33" s="150"/>
    </row>
    <row r="34" spans="2:20" ht="18.649999999999999" customHeight="1" x14ac:dyDescent="0.35"/>
    <row r="35" spans="2:20" ht="13.5" customHeight="1" x14ac:dyDescent="0.35">
      <c r="B35" s="127"/>
      <c r="C35" s="127"/>
      <c r="D35" s="127"/>
      <c r="E35" s="127"/>
      <c r="F35" s="127"/>
      <c r="G35" s="127"/>
      <c r="H35" s="127"/>
      <c r="I35" s="127"/>
      <c r="J35" s="127"/>
      <c r="K35" s="127"/>
      <c r="L35" s="127"/>
      <c r="M35" s="127"/>
      <c r="N35" s="127"/>
      <c r="O35" s="127"/>
      <c r="P35" s="127"/>
      <c r="Q35" s="127"/>
      <c r="R35" s="127"/>
      <c r="S35" s="127"/>
      <c r="T35" s="127"/>
    </row>
    <row r="36" spans="2:20" ht="30" customHeight="1" x14ac:dyDescent="0.35">
      <c r="B36" s="123"/>
      <c r="C36" s="123"/>
      <c r="D36" s="123"/>
      <c r="E36" s="447" t="s">
        <v>16</v>
      </c>
      <c r="F36" s="447"/>
      <c r="G36" s="447"/>
      <c r="H36" s="447"/>
      <c r="I36" s="447"/>
      <c r="J36" s="447"/>
      <c r="K36" s="447"/>
      <c r="L36" s="447"/>
      <c r="M36" s="447"/>
      <c r="N36" s="447"/>
      <c r="O36" s="447"/>
      <c r="P36" s="447"/>
      <c r="Q36" s="447"/>
      <c r="R36" s="447"/>
      <c r="S36" s="447"/>
      <c r="T36" s="127"/>
    </row>
    <row r="37" spans="2:20" ht="26.15" customHeight="1" x14ac:dyDescent="0.35">
      <c r="B37" s="123"/>
      <c r="C37" s="123"/>
      <c r="D37" s="123"/>
      <c r="E37" s="448" t="s">
        <v>17</v>
      </c>
      <c r="F37" s="448"/>
      <c r="G37" s="448"/>
      <c r="H37" s="448"/>
      <c r="I37" s="448"/>
      <c r="J37" s="448"/>
      <c r="K37" s="448"/>
      <c r="L37" s="448"/>
      <c r="M37" s="448"/>
      <c r="N37" s="448"/>
      <c r="O37" s="448"/>
      <c r="P37" s="448"/>
      <c r="Q37" s="448"/>
      <c r="R37" s="448"/>
      <c r="S37" s="448"/>
      <c r="T37" s="127"/>
    </row>
    <row r="38" spans="2:20" ht="25.5" customHeight="1" x14ac:dyDescent="0.35">
      <c r="B38" s="123"/>
      <c r="C38" s="123"/>
      <c r="D38" s="123"/>
      <c r="E38" s="448" t="s">
        <v>18</v>
      </c>
      <c r="F38" s="448"/>
      <c r="G38" s="448"/>
      <c r="H38" s="448"/>
      <c r="I38" s="448"/>
      <c r="J38" s="448"/>
      <c r="K38" s="448"/>
      <c r="L38" s="448"/>
      <c r="M38" s="448"/>
      <c r="N38" s="448"/>
      <c r="O38" s="448"/>
      <c r="P38" s="448"/>
      <c r="Q38" s="448"/>
      <c r="R38" s="448"/>
      <c r="S38" s="448"/>
      <c r="T38" s="127"/>
    </row>
    <row r="39" spans="2:20" ht="28.5" customHeight="1" x14ac:dyDescent="0.35">
      <c r="B39" s="123"/>
      <c r="C39" s="123"/>
      <c r="D39" s="124"/>
      <c r="E39" s="448" t="s">
        <v>19</v>
      </c>
      <c r="F39" s="448"/>
      <c r="G39" s="448"/>
      <c r="H39" s="448"/>
      <c r="I39" s="448"/>
      <c r="J39" s="448"/>
      <c r="K39" s="448"/>
      <c r="L39" s="448"/>
      <c r="M39" s="448"/>
      <c r="N39" s="448"/>
      <c r="O39" s="448"/>
      <c r="P39" s="448"/>
      <c r="Q39" s="448"/>
      <c r="R39" s="448"/>
      <c r="S39" s="448"/>
      <c r="T39" s="127"/>
    </row>
    <row r="40" spans="2:20" s="1" customFormat="1" ht="21.65" customHeight="1" x14ac:dyDescent="0.35">
      <c r="B40" s="128"/>
      <c r="C40" s="128"/>
      <c r="D40" s="132"/>
      <c r="E40" s="133"/>
      <c r="F40" s="133"/>
      <c r="G40" s="133"/>
      <c r="H40" s="133"/>
      <c r="I40" s="133"/>
      <c r="J40" s="133"/>
      <c r="K40" s="133"/>
      <c r="L40" s="133"/>
      <c r="M40" s="133"/>
      <c r="N40" s="133"/>
      <c r="O40" s="133"/>
      <c r="P40" s="133"/>
      <c r="Q40" s="133"/>
      <c r="R40" s="133"/>
      <c r="S40" s="133"/>
      <c r="T40" s="133"/>
    </row>
    <row r="41" spans="2:20" s="5" customFormat="1" ht="21.65" customHeight="1" x14ac:dyDescent="0.45">
      <c r="B41" s="130"/>
      <c r="C41" s="143" t="s">
        <v>20</v>
      </c>
      <c r="D41" s="130"/>
      <c r="E41" s="130"/>
      <c r="F41" s="130"/>
      <c r="G41" s="130"/>
      <c r="H41" s="130"/>
      <c r="I41" s="130"/>
      <c r="J41" s="130"/>
      <c r="K41" s="130"/>
      <c r="L41" s="130"/>
      <c r="M41" s="130"/>
      <c r="N41" s="130"/>
      <c r="O41" s="130"/>
      <c r="P41" s="130"/>
      <c r="Q41" s="130"/>
      <c r="R41" s="130"/>
      <c r="S41" s="130"/>
      <c r="T41" s="144"/>
    </row>
    <row r="42" spans="2:20" s="126" customFormat="1" ht="47.5" customHeight="1" x14ac:dyDescent="0.3">
      <c r="B42" s="129"/>
      <c r="C42" s="445" t="s">
        <v>21</v>
      </c>
      <c r="D42" s="445"/>
      <c r="E42" s="445"/>
      <c r="F42" s="445"/>
      <c r="G42" s="445"/>
      <c r="H42" s="445"/>
      <c r="I42" s="445"/>
      <c r="J42" s="445"/>
      <c r="K42" s="445"/>
      <c r="L42" s="445"/>
      <c r="M42" s="445"/>
      <c r="N42" s="445"/>
      <c r="O42" s="445"/>
      <c r="P42" s="445"/>
      <c r="Q42" s="445"/>
      <c r="R42" s="445"/>
      <c r="S42" s="445"/>
    </row>
    <row r="43" spans="2:20" s="126" customFormat="1" ht="21.65" customHeight="1" x14ac:dyDescent="0.3">
      <c r="B43" s="131"/>
      <c r="C43" s="446" t="s">
        <v>22</v>
      </c>
      <c r="D43" s="446"/>
      <c r="E43" s="446"/>
      <c r="F43" s="131"/>
      <c r="G43" s="131"/>
      <c r="H43" s="131"/>
      <c r="I43" s="131"/>
      <c r="J43" s="131"/>
      <c r="K43" s="131"/>
      <c r="L43" s="131"/>
      <c r="M43" s="131"/>
      <c r="N43" s="131"/>
      <c r="O43" s="131"/>
      <c r="P43" s="131"/>
      <c r="Q43" s="131"/>
      <c r="R43" s="131"/>
      <c r="S43" s="131"/>
      <c r="T43" s="145" t="s">
        <v>23</v>
      </c>
    </row>
    <row r="44" spans="2:20" ht="13.5" customHeight="1" x14ac:dyDescent="0.35">
      <c r="E44" s="122"/>
    </row>
  </sheetData>
  <mergeCells count="6">
    <mergeCell ref="C42:S42"/>
    <mergeCell ref="C43:E43"/>
    <mergeCell ref="E36:S36"/>
    <mergeCell ref="E37:S37"/>
    <mergeCell ref="E38:S38"/>
    <mergeCell ref="E39:S39"/>
  </mergeCells>
  <hyperlinks>
    <hyperlink ref="E39:S39" r:id="rId1" display="&gt;&gt; Subscribe to our quarterly newsletter" xr:uid="{4C21FEED-197F-40A3-9FF4-5C961D647940}"/>
    <hyperlink ref="E38:S38" r:id="rId2" display="&gt;&gt; Download other helpful resources like this one" xr:uid="{F453BE01-2AD6-4061-B8A4-A760383541B7}"/>
    <hyperlink ref="E37:F37" r:id="rId3" display="&gt;&gt; About S3 Ventures" xr:uid="{1055DD2F-86B9-48BE-AD94-B46A671BC170}"/>
    <hyperlink ref="C43" r:id="rId4" xr:uid="{6B299955-5661-49EE-A07E-5EDB85A022BA}"/>
  </hyperlinks>
  <pageMargins left="0.7" right="0.7" top="0.75" bottom="0.75" header="0.3" footer="0.3"/>
  <pageSetup scale="94"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O46"/>
  <sheetViews>
    <sheetView showGridLines="0" zoomScaleNormal="100" workbookViewId="0"/>
  </sheetViews>
  <sheetFormatPr defaultColWidth="9" defaultRowHeight="12.9" x14ac:dyDescent="0.35"/>
  <cols>
    <col min="1" max="1" width="2.1328125" style="2" customWidth="1"/>
    <col min="2" max="3" width="20.59765625" style="2" customWidth="1"/>
    <col min="4" max="12" width="15.59765625" style="2" customWidth="1"/>
    <col min="13" max="13" width="2.86328125" style="4" customWidth="1"/>
    <col min="14" max="16384" width="9" style="2"/>
  </cols>
  <sheetData>
    <row r="1" spans="1:13" ht="18.45" x14ac:dyDescent="0.5">
      <c r="A1" s="142"/>
      <c r="B1" s="125" t="s">
        <v>24</v>
      </c>
      <c r="C1" s="125"/>
      <c r="D1" s="125"/>
      <c r="E1" s="125"/>
      <c r="F1" s="125"/>
      <c r="G1" s="125"/>
      <c r="H1" s="125"/>
      <c r="I1" s="125"/>
      <c r="J1" s="125"/>
      <c r="K1" s="125"/>
      <c r="L1" s="125"/>
      <c r="M1" s="125"/>
    </row>
    <row r="2" spans="1:13" ht="29.15" customHeight="1" x14ac:dyDescent="0.4">
      <c r="B2" s="9"/>
      <c r="C2" s="184"/>
      <c r="D2" s="57"/>
      <c r="E2" s="57"/>
      <c r="F2" s="57"/>
      <c r="G2" s="57"/>
      <c r="H2" s="57"/>
      <c r="I2" s="57"/>
      <c r="J2" s="57"/>
      <c r="K2" s="57"/>
      <c r="L2" s="57"/>
      <c r="M2" s="57"/>
    </row>
    <row r="3" spans="1:13" ht="15" customHeight="1" x14ac:dyDescent="0.4">
      <c r="B3" s="96" t="s">
        <v>25</v>
      </c>
      <c r="C3" s="97"/>
      <c r="D3" s="97"/>
      <c r="E3" s="97"/>
      <c r="F3" s="97"/>
      <c r="G3" s="97"/>
      <c r="H3" s="97"/>
      <c r="I3" s="97"/>
      <c r="J3" s="97"/>
      <c r="K3" s="97"/>
      <c r="L3" s="97"/>
      <c r="M3" s="98"/>
    </row>
    <row r="4" spans="1:13" ht="15" customHeight="1" x14ac:dyDescent="0.4">
      <c r="B4" s="68" t="s">
        <v>221</v>
      </c>
      <c r="C4" s="10"/>
      <c r="D4" s="5"/>
      <c r="E4" s="5"/>
      <c r="F4" s="5"/>
      <c r="G4" s="5"/>
      <c r="H4" s="5"/>
      <c r="I4" s="5"/>
      <c r="J4" s="5"/>
      <c r="K4" s="5"/>
      <c r="L4" s="5"/>
      <c r="M4" s="109"/>
    </row>
    <row r="5" spans="1:13" ht="15" customHeight="1" x14ac:dyDescent="0.4">
      <c r="B5" s="68" t="s">
        <v>222</v>
      </c>
      <c r="C5" s="10"/>
      <c r="D5" s="5"/>
      <c r="E5" s="5"/>
      <c r="F5" s="5"/>
      <c r="G5" s="5"/>
      <c r="H5" s="5"/>
      <c r="I5" s="5"/>
      <c r="J5" s="5"/>
      <c r="K5" s="5"/>
      <c r="L5" s="5"/>
      <c r="M5" s="110"/>
    </row>
    <row r="6" spans="1:13" ht="15" customHeight="1" x14ac:dyDescent="0.4">
      <c r="B6" s="380" t="s">
        <v>26</v>
      </c>
      <c r="C6" s="312"/>
      <c r="D6" s="312"/>
      <c r="E6" s="312"/>
      <c r="F6" s="312"/>
      <c r="G6" s="312"/>
      <c r="H6" s="312"/>
      <c r="I6" s="312"/>
      <c r="J6" s="312"/>
      <c r="K6" s="312"/>
      <c r="L6" s="312"/>
      <c r="M6" s="313"/>
    </row>
    <row r="7" spans="1:13" ht="29.15" customHeight="1" x14ac:dyDescent="0.4">
      <c r="B7" s="9"/>
      <c r="C7" s="184"/>
      <c r="D7" s="57"/>
      <c r="E7" s="57"/>
      <c r="F7" s="57"/>
      <c r="G7" s="57"/>
      <c r="H7" s="57"/>
      <c r="I7" s="57"/>
      <c r="J7" s="57"/>
      <c r="K7" s="57"/>
      <c r="L7" s="57"/>
      <c r="M7" s="57"/>
    </row>
    <row r="8" spans="1:13" s="5" customFormat="1" ht="14.6" x14ac:dyDescent="0.4">
      <c r="A8" s="2"/>
      <c r="B8" s="192"/>
      <c r="C8" s="193"/>
      <c r="D8" s="157" t="s">
        <v>27</v>
      </c>
      <c r="E8" s="157"/>
      <c r="F8" s="157"/>
      <c r="G8" s="157"/>
      <c r="H8" s="158"/>
      <c r="I8" s="157" t="s">
        <v>193</v>
      </c>
      <c r="J8" s="158"/>
      <c r="K8" s="157" t="s">
        <v>29</v>
      </c>
      <c r="L8" s="158"/>
      <c r="M8" s="58"/>
    </row>
    <row r="9" spans="1:13" ht="45" customHeight="1" x14ac:dyDescent="0.4">
      <c r="B9" s="67" t="s">
        <v>30</v>
      </c>
      <c r="C9" s="62" t="s">
        <v>31</v>
      </c>
      <c r="D9" s="175" t="s">
        <v>32</v>
      </c>
      <c r="E9" s="52" t="s">
        <v>33</v>
      </c>
      <c r="F9" s="52" t="s">
        <v>187</v>
      </c>
      <c r="G9" s="52" t="s">
        <v>34</v>
      </c>
      <c r="H9" s="63" t="s">
        <v>35</v>
      </c>
      <c r="I9" s="36" t="s">
        <v>195</v>
      </c>
      <c r="J9" s="36" t="s">
        <v>194</v>
      </c>
      <c r="K9" s="175" t="s">
        <v>36</v>
      </c>
      <c r="L9" s="271" t="s">
        <v>37</v>
      </c>
      <c r="M9" s="59"/>
    </row>
    <row r="10" spans="1:13" ht="15" customHeight="1" x14ac:dyDescent="0.4">
      <c r="B10" s="194" t="s">
        <v>38</v>
      </c>
      <c r="C10" s="188" t="s">
        <v>39</v>
      </c>
      <c r="D10" s="165">
        <v>7500000</v>
      </c>
      <c r="E10" s="103">
        <f>+IFERROR(SUMIF('2. Option Grant Ledger'!$B$10:$B$22,'1. Current Cap Table'!$B10,'2. Option Grant Ledger'!$F$10:$G$22),0)</f>
        <v>10000</v>
      </c>
      <c r="F10" s="103">
        <f>+IFERROR(SUMIF('2. Option Grant Ledger'!$B$10:$B$22,'1. Current Cap Table'!$B10,'2. Option Grant Ledger'!$G$10:$G$22),0)</f>
        <v>40000</v>
      </c>
      <c r="G10" s="190">
        <f>+SUM(D10:F10)</f>
        <v>7550000</v>
      </c>
      <c r="H10" s="172">
        <f>+IFERROR(G10/$G$28,0)</f>
        <v>0.63983050847457623</v>
      </c>
      <c r="I10" s="164">
        <v>0</v>
      </c>
      <c r="J10" s="195">
        <f>+IFERROR(I10/$I$28, 0)</f>
        <v>0</v>
      </c>
      <c r="K10" s="191">
        <f>+G10+I10</f>
        <v>7550000</v>
      </c>
      <c r="L10" s="197">
        <f>IFERROR(K10/$K$28, 0)</f>
        <v>0.58984375</v>
      </c>
      <c r="M10" s="59"/>
    </row>
    <row r="11" spans="1:13" ht="15" customHeight="1" x14ac:dyDescent="0.4">
      <c r="B11" s="206" t="s">
        <v>40</v>
      </c>
      <c r="C11" s="207" t="s">
        <v>39</v>
      </c>
      <c r="D11" s="166">
        <v>1800000</v>
      </c>
      <c r="E11" s="208">
        <f>+IFERROR(SUMIF('2. Option Grant Ledger'!$B$10:$B$22,'1. Current Cap Table'!$B11,'2. Option Grant Ledger'!$F$10:$G$22),0)</f>
        <v>0</v>
      </c>
      <c r="F11" s="208">
        <f>+IFERROR(SUMIF('2. Option Grant Ledger'!$B$10:$B$22,'1. Current Cap Table'!$B11,'2. Option Grant Ledger'!$G$10:$G$22),0)</f>
        <v>50000</v>
      </c>
      <c r="G11" s="209">
        <f t="shared" ref="G11:G27" si="0">+SUM(D11:F11)</f>
        <v>1850000</v>
      </c>
      <c r="H11" s="198">
        <f t="shared" ref="H11:H27" si="1">+IFERROR(G11/$G$28,0)</f>
        <v>0.15677966101694915</v>
      </c>
      <c r="I11" s="166">
        <v>0</v>
      </c>
      <c r="J11" s="196">
        <f t="shared" ref="J11:J27" si="2">+IFERROR(I11/$I$28, 0)</f>
        <v>0</v>
      </c>
      <c r="K11" s="189">
        <f t="shared" ref="K11:K27" si="3">+G11+I11</f>
        <v>1850000</v>
      </c>
      <c r="L11" s="198">
        <f t="shared" ref="L11:L27" si="4">IFERROR(K11/$K$28, 0)</f>
        <v>0.14453125</v>
      </c>
      <c r="M11" s="59"/>
    </row>
    <row r="12" spans="1:13" ht="15" customHeight="1" x14ac:dyDescent="0.4">
      <c r="B12" s="163" t="s">
        <v>41</v>
      </c>
      <c r="C12" s="188" t="s">
        <v>42</v>
      </c>
      <c r="D12" s="165">
        <v>0</v>
      </c>
      <c r="E12" s="103">
        <f>+IFERROR(SUMIF('2. Option Grant Ledger'!$B$10:$B$22,'1. Current Cap Table'!$B12,'2. Option Grant Ledger'!$F$10:$G$22),0)</f>
        <v>15000</v>
      </c>
      <c r="F12" s="103">
        <f>+IFERROR(SUMIF('2. Option Grant Ledger'!$B$10:$B$22,'1. Current Cap Table'!$B12,'2. Option Grant Ledger'!$G$10:$G$22),0)</f>
        <v>60000</v>
      </c>
      <c r="G12" s="190">
        <f t="shared" si="0"/>
        <v>75000</v>
      </c>
      <c r="H12" s="172">
        <f t="shared" si="1"/>
        <v>6.3559322033898309E-3</v>
      </c>
      <c r="I12" s="165">
        <v>0</v>
      </c>
      <c r="J12" s="153">
        <f t="shared" si="2"/>
        <v>0</v>
      </c>
      <c r="K12" s="191">
        <f t="shared" si="3"/>
        <v>75000</v>
      </c>
      <c r="L12" s="172">
        <f t="shared" si="4"/>
        <v>5.859375E-3</v>
      </c>
      <c r="M12" s="59"/>
    </row>
    <row r="13" spans="1:13" ht="15" customHeight="1" x14ac:dyDescent="0.4">
      <c r="B13" s="163" t="s">
        <v>43</v>
      </c>
      <c r="C13" s="188" t="s">
        <v>42</v>
      </c>
      <c r="D13" s="165">
        <v>0</v>
      </c>
      <c r="E13" s="103">
        <f>+IFERROR(SUMIF('2. Option Grant Ledger'!$B$10:$B$22,'1. Current Cap Table'!$B13,'2. Option Grant Ledger'!$F$10:$G$22),0)</f>
        <v>0</v>
      </c>
      <c r="F13" s="103">
        <f>+IFERROR(SUMIF('2. Option Grant Ledger'!$B$10:$B$22,'1. Current Cap Table'!$B13,'2. Option Grant Ledger'!$G$10:$G$22),0)</f>
        <v>1000000</v>
      </c>
      <c r="G13" s="190">
        <f t="shared" si="0"/>
        <v>1000000</v>
      </c>
      <c r="H13" s="172">
        <f t="shared" si="1"/>
        <v>8.4745762711864403E-2</v>
      </c>
      <c r="I13" s="165">
        <v>0</v>
      </c>
      <c r="J13" s="153">
        <f t="shared" si="2"/>
        <v>0</v>
      </c>
      <c r="K13" s="191">
        <f t="shared" si="3"/>
        <v>1000000</v>
      </c>
      <c r="L13" s="172">
        <f t="shared" si="4"/>
        <v>7.8125E-2</v>
      </c>
      <c r="M13" s="59"/>
    </row>
    <row r="14" spans="1:13" ht="15" customHeight="1" x14ac:dyDescent="0.4">
      <c r="B14" s="163" t="s">
        <v>44</v>
      </c>
      <c r="C14" s="188" t="s">
        <v>42</v>
      </c>
      <c r="D14" s="165">
        <v>0</v>
      </c>
      <c r="E14" s="103">
        <f>+IFERROR(SUMIF('2. Option Grant Ledger'!$B$10:$B$22,'1. Current Cap Table'!$B14,'2. Option Grant Ledger'!$F$10:$G$22),0)</f>
        <v>0</v>
      </c>
      <c r="F14" s="103">
        <f>+IFERROR(SUMIF('2. Option Grant Ledger'!$B$10:$B$22,'1. Current Cap Table'!$B14,'2. Option Grant Ledger'!$G$10:$G$22),0)</f>
        <v>750000</v>
      </c>
      <c r="G14" s="190">
        <f t="shared" si="0"/>
        <v>750000</v>
      </c>
      <c r="H14" s="172">
        <f t="shared" si="1"/>
        <v>6.3559322033898302E-2</v>
      </c>
      <c r="I14" s="165">
        <v>0</v>
      </c>
      <c r="J14" s="153">
        <f t="shared" si="2"/>
        <v>0</v>
      </c>
      <c r="K14" s="191">
        <f t="shared" si="3"/>
        <v>750000</v>
      </c>
      <c r="L14" s="172">
        <f t="shared" si="4"/>
        <v>5.859375E-2</v>
      </c>
      <c r="M14" s="59"/>
    </row>
    <row r="15" spans="1:13" s="4" customFormat="1" ht="15" customHeight="1" x14ac:dyDescent="0.4">
      <c r="B15" s="163" t="s">
        <v>45</v>
      </c>
      <c r="C15" s="188" t="s">
        <v>42</v>
      </c>
      <c r="D15" s="165">
        <v>0</v>
      </c>
      <c r="E15" s="103">
        <f>+IFERROR(SUMIF('2. Option Grant Ledger'!$B$10:$B$22,'1. Current Cap Table'!$B15,'2. Option Grant Ledger'!$F$10:$G$22),0)</f>
        <v>80000</v>
      </c>
      <c r="F15" s="103">
        <f>+IFERROR(SUMIF('2. Option Grant Ledger'!$B$10:$B$22,'1. Current Cap Table'!$B15,'2. Option Grant Ledger'!$G$10:$G$22),0)</f>
        <v>0</v>
      </c>
      <c r="G15" s="190">
        <f t="shared" si="0"/>
        <v>80000</v>
      </c>
      <c r="H15" s="172">
        <f t="shared" si="1"/>
        <v>6.7796610169491523E-3</v>
      </c>
      <c r="I15" s="165">
        <v>0</v>
      </c>
      <c r="J15" s="153">
        <f t="shared" si="2"/>
        <v>0</v>
      </c>
      <c r="K15" s="191">
        <f t="shared" si="3"/>
        <v>80000</v>
      </c>
      <c r="L15" s="172">
        <f t="shared" si="4"/>
        <v>6.2500000000000003E-3</v>
      </c>
      <c r="M15" s="24"/>
    </row>
    <row r="16" spans="1:13" s="4" customFormat="1" ht="15" customHeight="1" x14ac:dyDescent="0.4">
      <c r="B16" s="163" t="s">
        <v>46</v>
      </c>
      <c r="C16" s="188" t="s">
        <v>42</v>
      </c>
      <c r="D16" s="165">
        <v>0</v>
      </c>
      <c r="E16" s="103">
        <f>+IFERROR(SUMIF('2. Option Grant Ledger'!$B$10:$B$22,'1. Current Cap Table'!$B16,'2. Option Grant Ledger'!$F$10:$G$22),0)</f>
        <v>0</v>
      </c>
      <c r="F16" s="103">
        <f>+IFERROR(SUMIF('2. Option Grant Ledger'!$B$10:$B$22,'1. Current Cap Table'!$B16,'2. Option Grant Ledger'!$G$10:$G$22),0)</f>
        <v>0</v>
      </c>
      <c r="G16" s="190">
        <f t="shared" si="0"/>
        <v>0</v>
      </c>
      <c r="H16" s="172">
        <f t="shared" si="1"/>
        <v>0</v>
      </c>
      <c r="I16" s="165">
        <v>0</v>
      </c>
      <c r="J16" s="153">
        <f t="shared" si="2"/>
        <v>0</v>
      </c>
      <c r="K16" s="191">
        <f t="shared" si="3"/>
        <v>0</v>
      </c>
      <c r="L16" s="172">
        <f t="shared" si="4"/>
        <v>0</v>
      </c>
      <c r="M16" s="24"/>
    </row>
    <row r="17" spans="2:13" s="4" customFormat="1" ht="15" customHeight="1" x14ac:dyDescent="0.4">
      <c r="B17" s="163" t="s">
        <v>47</v>
      </c>
      <c r="C17" s="188" t="s">
        <v>42</v>
      </c>
      <c r="D17" s="165">
        <v>0</v>
      </c>
      <c r="E17" s="103">
        <f>+IFERROR(SUMIF('2. Option Grant Ledger'!$B$10:$B$22,'1. Current Cap Table'!$B17,'2. Option Grant Ledger'!$F$10:$G$22),0)</f>
        <v>0</v>
      </c>
      <c r="F17" s="103">
        <f>+IFERROR(SUMIF('2. Option Grant Ledger'!$B$10:$B$22,'1. Current Cap Table'!$B17,'2. Option Grant Ledger'!$G$10:$G$22),0)</f>
        <v>100000</v>
      </c>
      <c r="G17" s="190">
        <f t="shared" si="0"/>
        <v>100000</v>
      </c>
      <c r="H17" s="172">
        <f t="shared" si="1"/>
        <v>8.4745762711864406E-3</v>
      </c>
      <c r="I17" s="165">
        <v>0</v>
      </c>
      <c r="J17" s="153">
        <f t="shared" si="2"/>
        <v>0</v>
      </c>
      <c r="K17" s="191">
        <f t="shared" si="3"/>
        <v>100000</v>
      </c>
      <c r="L17" s="172">
        <f t="shared" si="4"/>
        <v>7.8125E-3</v>
      </c>
      <c r="M17" s="24"/>
    </row>
    <row r="18" spans="2:13" s="4" customFormat="1" ht="15" customHeight="1" x14ac:dyDescent="0.4">
      <c r="B18" s="163" t="s">
        <v>48</v>
      </c>
      <c r="C18" s="188" t="s">
        <v>42</v>
      </c>
      <c r="D18" s="165">
        <v>0</v>
      </c>
      <c r="E18" s="103">
        <f>+IFERROR(SUMIF('2. Option Grant Ledger'!$B$10:$B$22,'1. Current Cap Table'!$B18,'2. Option Grant Ledger'!$F$10:$G$22),0)</f>
        <v>0</v>
      </c>
      <c r="F18" s="103">
        <f>+IFERROR(SUMIF('2. Option Grant Ledger'!$B$10:$B$22,'1. Current Cap Table'!$B18,'2. Option Grant Ledger'!$G$10:$G$22),0)</f>
        <v>100000</v>
      </c>
      <c r="G18" s="190">
        <f t="shared" si="0"/>
        <v>100000</v>
      </c>
      <c r="H18" s="172">
        <f t="shared" si="1"/>
        <v>8.4745762711864406E-3</v>
      </c>
      <c r="I18" s="165">
        <v>0</v>
      </c>
      <c r="J18" s="153">
        <f t="shared" si="2"/>
        <v>0</v>
      </c>
      <c r="K18" s="191">
        <f t="shared" si="3"/>
        <v>100000</v>
      </c>
      <c r="L18" s="172">
        <f t="shared" si="4"/>
        <v>7.8125E-3</v>
      </c>
      <c r="M18" s="24"/>
    </row>
    <row r="19" spans="2:13" s="4" customFormat="1" ht="15" customHeight="1" x14ac:dyDescent="0.4">
      <c r="B19" s="206" t="s">
        <v>49</v>
      </c>
      <c r="C19" s="207" t="s">
        <v>42</v>
      </c>
      <c r="D19" s="166">
        <v>0</v>
      </c>
      <c r="E19" s="208">
        <f>+IFERROR(SUMIF('2. Option Grant Ledger'!$B$10:$B$22,'1. Current Cap Table'!$B19,'2. Option Grant Ledger'!$F$10:$G$22),0)</f>
        <v>0</v>
      </c>
      <c r="F19" s="208">
        <f>+IFERROR(SUMIF('2. Option Grant Ledger'!$B$10:$B$22,'1. Current Cap Table'!$B19,'2. Option Grant Ledger'!$G$10:$G$22),0)</f>
        <v>100000</v>
      </c>
      <c r="G19" s="209">
        <f t="shared" si="0"/>
        <v>100000</v>
      </c>
      <c r="H19" s="198">
        <f t="shared" si="1"/>
        <v>8.4745762711864406E-3</v>
      </c>
      <c r="I19" s="166">
        <v>0</v>
      </c>
      <c r="J19" s="196">
        <f t="shared" si="2"/>
        <v>0</v>
      </c>
      <c r="K19" s="189">
        <f t="shared" si="3"/>
        <v>100000</v>
      </c>
      <c r="L19" s="198">
        <f t="shared" si="4"/>
        <v>7.8125E-3</v>
      </c>
      <c r="M19" s="24"/>
    </row>
    <row r="20" spans="2:13" s="4" customFormat="1" ht="15" customHeight="1" x14ac:dyDescent="0.4">
      <c r="B20" s="163" t="s">
        <v>50</v>
      </c>
      <c r="C20" s="188" t="s">
        <v>51</v>
      </c>
      <c r="D20" s="165">
        <v>0</v>
      </c>
      <c r="E20" s="103">
        <f>+IFERROR(SUMIF('2. Option Grant Ledger'!$B$10:$B$22,'1. Current Cap Table'!$B20,'2. Option Grant Ledger'!$F$10:$G$22),0)</f>
        <v>0</v>
      </c>
      <c r="F20" s="103">
        <f>+IFERROR(SUMIF('2. Option Grant Ledger'!$B$10:$B$22,'1. Current Cap Table'!$B20,'2. Option Grant Ledger'!$G$10:$G$22),0)</f>
        <v>5000</v>
      </c>
      <c r="G20" s="190">
        <f t="shared" si="0"/>
        <v>5000</v>
      </c>
      <c r="H20" s="172">
        <f t="shared" si="1"/>
        <v>4.2372881355932202E-4</v>
      </c>
      <c r="I20" s="165">
        <v>0</v>
      </c>
      <c r="J20" s="153">
        <f t="shared" si="2"/>
        <v>0</v>
      </c>
      <c r="K20" s="191">
        <f t="shared" si="3"/>
        <v>5000</v>
      </c>
      <c r="L20" s="172">
        <f t="shared" si="4"/>
        <v>3.9062500000000002E-4</v>
      </c>
      <c r="M20" s="24"/>
    </row>
    <row r="21" spans="2:13" s="4" customFormat="1" ht="15" customHeight="1" x14ac:dyDescent="0.4">
      <c r="B21" s="206" t="s">
        <v>52</v>
      </c>
      <c r="C21" s="207" t="s">
        <v>51</v>
      </c>
      <c r="D21" s="166">
        <v>0</v>
      </c>
      <c r="E21" s="208">
        <f>+IFERROR(SUMIF('2. Option Grant Ledger'!$B$10:$B$22,'1. Current Cap Table'!$B21,'2. Option Grant Ledger'!$F$10:$G$22),0)</f>
        <v>0</v>
      </c>
      <c r="F21" s="208">
        <f>+IFERROR(SUMIF('2. Option Grant Ledger'!$B$10:$B$22,'1. Current Cap Table'!$B21,'2. Option Grant Ledger'!$G$10:$G$22),0)</f>
        <v>5000</v>
      </c>
      <c r="G21" s="209">
        <f t="shared" si="0"/>
        <v>5000</v>
      </c>
      <c r="H21" s="198">
        <f t="shared" si="1"/>
        <v>4.2372881355932202E-4</v>
      </c>
      <c r="I21" s="166">
        <v>0</v>
      </c>
      <c r="J21" s="196">
        <f t="shared" si="2"/>
        <v>0</v>
      </c>
      <c r="K21" s="189">
        <f t="shared" si="3"/>
        <v>5000</v>
      </c>
      <c r="L21" s="198">
        <f t="shared" si="4"/>
        <v>3.9062500000000002E-4</v>
      </c>
      <c r="M21" s="24"/>
    </row>
    <row r="22" spans="2:13" s="4" customFormat="1" ht="15" customHeight="1" x14ac:dyDescent="0.4">
      <c r="B22" s="163" t="s">
        <v>53</v>
      </c>
      <c r="C22" s="188" t="s">
        <v>54</v>
      </c>
      <c r="D22" s="165">
        <v>0</v>
      </c>
      <c r="E22" s="103">
        <f>+IFERROR(SUMIF('2. Option Grant Ledger'!$B$10:$B$22,'1. Current Cap Table'!$B22,'2. Option Grant Ledger'!$F$10:$G$22),0)</f>
        <v>0</v>
      </c>
      <c r="F22" s="103">
        <f>+IFERROR(SUMIF('2. Option Grant Ledger'!$B$10:$B$22,'1. Current Cap Table'!$B22,'2. Option Grant Ledger'!$G$10:$G$22),0)</f>
        <v>0</v>
      </c>
      <c r="G22" s="190">
        <f t="shared" ref="G22:G26" si="5">+SUM(D22:F22)</f>
        <v>0</v>
      </c>
      <c r="H22" s="172">
        <f t="shared" si="1"/>
        <v>0</v>
      </c>
      <c r="I22" s="165">
        <v>500000</v>
      </c>
      <c r="J22" s="153">
        <f t="shared" si="2"/>
        <v>0.5</v>
      </c>
      <c r="K22" s="191">
        <f t="shared" si="3"/>
        <v>500000</v>
      </c>
      <c r="L22" s="172">
        <f t="shared" si="4"/>
        <v>3.90625E-2</v>
      </c>
      <c r="M22" s="24"/>
    </row>
    <row r="23" spans="2:13" s="4" customFormat="1" ht="15" customHeight="1" x14ac:dyDescent="0.4">
      <c r="B23" s="163" t="s">
        <v>55</v>
      </c>
      <c r="C23" s="188" t="s">
        <v>54</v>
      </c>
      <c r="D23" s="165">
        <v>0</v>
      </c>
      <c r="E23" s="103">
        <f>+IFERROR(SUMIF('2. Option Grant Ledger'!$B$10:$B$22,'1. Current Cap Table'!$B23,'2. Option Grant Ledger'!$F$10:$G$22),0)</f>
        <v>0</v>
      </c>
      <c r="F23" s="103">
        <f>+IFERROR(SUMIF('2. Option Grant Ledger'!$B$10:$B$22,'1. Current Cap Table'!$B23,'2. Option Grant Ledger'!$G$10:$G$22),0)</f>
        <v>0</v>
      </c>
      <c r="G23" s="190">
        <f t="shared" si="5"/>
        <v>0</v>
      </c>
      <c r="H23" s="172">
        <f t="shared" si="1"/>
        <v>0</v>
      </c>
      <c r="I23" s="165">
        <v>500000</v>
      </c>
      <c r="J23" s="153">
        <f t="shared" si="2"/>
        <v>0.5</v>
      </c>
      <c r="K23" s="191">
        <f t="shared" si="3"/>
        <v>500000</v>
      </c>
      <c r="L23" s="172">
        <f t="shared" si="4"/>
        <v>3.90625E-2</v>
      </c>
      <c r="M23" s="24"/>
    </row>
    <row r="24" spans="2:13" s="4" customFormat="1" ht="15" customHeight="1" x14ac:dyDescent="0.4">
      <c r="B24" s="163" t="s">
        <v>56</v>
      </c>
      <c r="C24" s="188" t="s">
        <v>54</v>
      </c>
      <c r="D24" s="165">
        <v>0</v>
      </c>
      <c r="E24" s="103">
        <f>+IFERROR(SUMIF('2. Option Grant Ledger'!$B$10:$B$22,'1. Current Cap Table'!$B24,'2. Option Grant Ledger'!$F$10:$G$22),0)</f>
        <v>0</v>
      </c>
      <c r="F24" s="103">
        <f>+IFERROR(SUMIF('2. Option Grant Ledger'!$B$10:$B$22,'1. Current Cap Table'!$B24,'2. Option Grant Ledger'!$G$10:$G$22),0)</f>
        <v>0</v>
      </c>
      <c r="G24" s="190">
        <f t="shared" si="5"/>
        <v>0</v>
      </c>
      <c r="H24" s="172">
        <f t="shared" si="1"/>
        <v>0</v>
      </c>
      <c r="I24" s="165">
        <v>0</v>
      </c>
      <c r="J24" s="153">
        <f t="shared" si="2"/>
        <v>0</v>
      </c>
      <c r="K24" s="191">
        <f t="shared" si="3"/>
        <v>0</v>
      </c>
      <c r="L24" s="172">
        <f t="shared" si="4"/>
        <v>0</v>
      </c>
      <c r="M24" s="24"/>
    </row>
    <row r="25" spans="2:13" s="4" customFormat="1" ht="15" customHeight="1" x14ac:dyDescent="0.4">
      <c r="B25" s="163" t="s">
        <v>57</v>
      </c>
      <c r="C25" s="188" t="s">
        <v>54</v>
      </c>
      <c r="D25" s="165">
        <v>0</v>
      </c>
      <c r="E25" s="103">
        <f>+IFERROR(SUMIF('2. Option Grant Ledger'!$B$10:$B$22,'1. Current Cap Table'!$B25,'2. Option Grant Ledger'!$F$10:$G$22),0)</f>
        <v>0</v>
      </c>
      <c r="F25" s="103">
        <f>+IFERROR(SUMIF('2. Option Grant Ledger'!$B$10:$B$22,'1. Current Cap Table'!$B25,'2. Option Grant Ledger'!$G$10:$G$22),0)</f>
        <v>0</v>
      </c>
      <c r="G25" s="190">
        <f t="shared" si="5"/>
        <v>0</v>
      </c>
      <c r="H25" s="172">
        <f t="shared" si="1"/>
        <v>0</v>
      </c>
      <c r="I25" s="165">
        <v>0</v>
      </c>
      <c r="J25" s="153">
        <f t="shared" si="2"/>
        <v>0</v>
      </c>
      <c r="K25" s="191">
        <f t="shared" si="3"/>
        <v>0</v>
      </c>
      <c r="L25" s="172">
        <f t="shared" si="4"/>
        <v>0</v>
      </c>
      <c r="M25" s="24"/>
    </row>
    <row r="26" spans="2:13" s="4" customFormat="1" ht="15" customHeight="1" x14ac:dyDescent="0.4">
      <c r="B26" s="206" t="s">
        <v>58</v>
      </c>
      <c r="C26" s="207" t="s">
        <v>54</v>
      </c>
      <c r="D26" s="166">
        <v>0</v>
      </c>
      <c r="E26" s="208">
        <f>+IFERROR(SUMIF('2. Option Grant Ledger'!$B$10:$B$22,'1. Current Cap Table'!$B26,'2. Option Grant Ledger'!$F$10:$G$22),0)</f>
        <v>0</v>
      </c>
      <c r="F26" s="208">
        <f>+IFERROR(SUMIF('2. Option Grant Ledger'!$B$10:$B$22,'1. Current Cap Table'!$B26,'2. Option Grant Ledger'!$G$10:$G$22),0)</f>
        <v>0</v>
      </c>
      <c r="G26" s="209">
        <f t="shared" si="5"/>
        <v>0</v>
      </c>
      <c r="H26" s="198">
        <f t="shared" si="1"/>
        <v>0</v>
      </c>
      <c r="I26" s="166">
        <v>0</v>
      </c>
      <c r="J26" s="196">
        <f t="shared" si="2"/>
        <v>0</v>
      </c>
      <c r="K26" s="189">
        <f t="shared" si="3"/>
        <v>0</v>
      </c>
      <c r="L26" s="198">
        <f t="shared" si="4"/>
        <v>0</v>
      </c>
      <c r="M26" s="24"/>
    </row>
    <row r="27" spans="2:13" s="4" customFormat="1" ht="15" customHeight="1" x14ac:dyDescent="0.4">
      <c r="B27" s="202" t="s">
        <v>186</v>
      </c>
      <c r="C27" s="203" t="s">
        <v>186</v>
      </c>
      <c r="D27" s="165"/>
      <c r="E27" s="103"/>
      <c r="F27" s="103">
        <f>+'2. Option Grant Ledger'!N29</f>
        <v>185000</v>
      </c>
      <c r="G27" s="190">
        <f t="shared" si="0"/>
        <v>185000</v>
      </c>
      <c r="H27" s="172">
        <f t="shared" si="1"/>
        <v>1.5677966101694914E-2</v>
      </c>
      <c r="I27" s="166"/>
      <c r="J27" s="196">
        <f t="shared" si="2"/>
        <v>0</v>
      </c>
      <c r="K27" s="189">
        <f t="shared" si="3"/>
        <v>185000</v>
      </c>
      <c r="L27" s="198">
        <f t="shared" si="4"/>
        <v>1.4453125000000001E-2</v>
      </c>
      <c r="M27" s="24"/>
    </row>
    <row r="28" spans="2:13" s="4" customFormat="1" ht="15" customHeight="1" x14ac:dyDescent="0.4">
      <c r="B28" s="171" t="s">
        <v>59</v>
      </c>
      <c r="C28" s="211"/>
      <c r="D28" s="173">
        <f t="shared" ref="D28:K28" si="6">SUM(D10:D27)</f>
        <v>9300000</v>
      </c>
      <c r="E28" s="174">
        <f t="shared" si="6"/>
        <v>105000</v>
      </c>
      <c r="F28" s="174">
        <f>SUM(F10:F27)</f>
        <v>2395000</v>
      </c>
      <c r="G28" s="174">
        <f>SUM(G10:G27)</f>
        <v>11800000</v>
      </c>
      <c r="H28" s="212">
        <f>SUM(H10:H27)</f>
        <v>1</v>
      </c>
      <c r="I28" s="173">
        <f t="shared" si="6"/>
        <v>1000000</v>
      </c>
      <c r="J28" s="213">
        <f>SUM(J10:J27)</f>
        <v>1</v>
      </c>
      <c r="K28" s="214">
        <f t="shared" si="6"/>
        <v>12800000</v>
      </c>
      <c r="L28" s="212">
        <f>+SUM(L10:L27)</f>
        <v>0.99999999999999989</v>
      </c>
      <c r="M28" s="60"/>
    </row>
    <row r="29" spans="2:13" ht="15" customHeight="1" x14ac:dyDescent="0.4">
      <c r="B29" s="22"/>
      <c r="C29" s="22"/>
      <c r="D29" s="22"/>
      <c r="E29" s="201">
        <f>+E28-'2. Option Grant Ledger'!F23</f>
        <v>0</v>
      </c>
      <c r="F29" s="201">
        <f>+F28-('2. Option Grant Ledger'!G23+'2. Option Grant Ledger'!N29)</f>
        <v>0</v>
      </c>
      <c r="G29" s="22"/>
      <c r="H29" s="22"/>
      <c r="I29" s="22"/>
      <c r="J29" s="22"/>
      <c r="K29" s="22"/>
      <c r="L29" s="22"/>
      <c r="M29" s="9"/>
    </row>
    <row r="30" spans="2:13" ht="14.6" x14ac:dyDescent="0.4">
      <c r="B30" s="115" t="s">
        <v>60</v>
      </c>
      <c r="C30" s="115"/>
      <c r="D30" s="95"/>
      <c r="E30" s="7" t="s">
        <v>0</v>
      </c>
      <c r="F30" s="7"/>
      <c r="K30" s="22"/>
      <c r="L30" s="22"/>
      <c r="M30" s="9"/>
    </row>
    <row r="31" spans="2:13" ht="14.6" x14ac:dyDescent="0.4">
      <c r="B31" s="199" t="s">
        <v>61</v>
      </c>
      <c r="C31" s="200" t="s">
        <v>62</v>
      </c>
      <c r="D31" s="63" t="s">
        <v>37</v>
      </c>
      <c r="E31" s="104"/>
      <c r="F31" s="104"/>
      <c r="K31" s="22"/>
      <c r="L31" s="22"/>
      <c r="M31" s="9"/>
    </row>
    <row r="32" spans="2:13" ht="14.6" x14ac:dyDescent="0.4">
      <c r="B32" s="13" t="s">
        <v>39</v>
      </c>
      <c r="C32" s="61">
        <f>+SUMIF($C$10:$C$27,B32,$K$10:$K$27)</f>
        <v>9400000</v>
      </c>
      <c r="D32" s="16">
        <f>IFERROR(C32/$C$37,0)</f>
        <v>0.734375</v>
      </c>
      <c r="E32" s="101"/>
      <c r="F32" s="101"/>
      <c r="K32" s="22"/>
      <c r="L32" s="22"/>
      <c r="M32" s="9"/>
    </row>
    <row r="33" spans="2:15" ht="14.6" x14ac:dyDescent="0.4">
      <c r="B33" s="68" t="s">
        <v>42</v>
      </c>
      <c r="C33" s="89">
        <f>+SUMIF($C$10:$C$27,B33,$K$10:$K$27)</f>
        <v>2205000</v>
      </c>
      <c r="D33" s="16">
        <f t="shared" ref="D33:D36" si="7">IFERROR(C33/$C$37,0)</f>
        <v>0.17226562500000001</v>
      </c>
      <c r="E33" s="101"/>
      <c r="F33" s="101"/>
      <c r="K33" s="81"/>
      <c r="L33" s="22"/>
      <c r="M33" s="9"/>
    </row>
    <row r="34" spans="2:15" ht="14.6" x14ac:dyDescent="0.4">
      <c r="B34" s="68" t="s">
        <v>51</v>
      </c>
      <c r="C34" s="89">
        <f>+SUMIF($C$10:$C$27,B34,$K$10:$K$27)</f>
        <v>10000</v>
      </c>
      <c r="D34" s="16">
        <f t="shared" si="7"/>
        <v>7.8125000000000004E-4</v>
      </c>
      <c r="E34" s="101"/>
      <c r="F34" s="101"/>
      <c r="K34" s="22"/>
      <c r="L34" s="22"/>
      <c r="M34" s="9"/>
    </row>
    <row r="35" spans="2:15" ht="14.6" x14ac:dyDescent="0.4">
      <c r="B35" s="68" t="s">
        <v>54</v>
      </c>
      <c r="C35" s="89">
        <f>+SUMIF($C$10:$C$27,B35,$K$10:$K$27)</f>
        <v>1000000</v>
      </c>
      <c r="D35" s="16">
        <f t="shared" si="7"/>
        <v>7.8125E-2</v>
      </c>
      <c r="E35" s="101"/>
      <c r="F35" s="101"/>
      <c r="K35" s="22"/>
      <c r="L35" s="22"/>
      <c r="M35" s="9"/>
    </row>
    <row r="36" spans="2:15" ht="14.6" x14ac:dyDescent="0.4">
      <c r="B36" s="68" t="s">
        <v>186</v>
      </c>
      <c r="C36" s="90">
        <f>+SUMIF($C$10:$C$27,B36,$K$10:$K$27)</f>
        <v>185000</v>
      </c>
      <c r="D36" s="16">
        <f t="shared" si="7"/>
        <v>1.4453125000000001E-2</v>
      </c>
      <c r="E36" s="101"/>
      <c r="F36" s="101"/>
      <c r="K36" s="22"/>
      <c r="L36" s="22"/>
      <c r="M36" s="9"/>
    </row>
    <row r="37" spans="2:15" ht="14.6" x14ac:dyDescent="0.4">
      <c r="B37" s="216" t="s">
        <v>59</v>
      </c>
      <c r="C37" s="217">
        <f>SUM(C32:C36)</f>
        <v>12800000</v>
      </c>
      <c r="D37" s="218">
        <f>SUM(D32:D36)</f>
        <v>0.99999999999999989</v>
      </c>
      <c r="E37" s="201">
        <f>+C37-K28</f>
        <v>0</v>
      </c>
      <c r="F37" s="102"/>
      <c r="K37" s="22"/>
      <c r="L37" s="22"/>
      <c r="M37" s="9"/>
    </row>
    <row r="38" spans="2:15" ht="14.6" x14ac:dyDescent="0.4">
      <c r="B38" s="22"/>
      <c r="C38" s="22"/>
      <c r="D38" s="22"/>
      <c r="E38" s="201"/>
      <c r="F38" s="102"/>
      <c r="K38" s="22"/>
      <c r="L38" s="22"/>
      <c r="M38" s="9"/>
      <c r="N38" s="9"/>
      <c r="O38" s="9"/>
    </row>
    <row r="39" spans="2:15" ht="14.6" x14ac:dyDescent="0.4">
      <c r="B39" s="96" t="s">
        <v>63</v>
      </c>
      <c r="C39" s="97"/>
      <c r="D39" s="97"/>
      <c r="E39" s="97"/>
      <c r="F39" s="97"/>
      <c r="G39" s="97"/>
      <c r="H39" s="97"/>
      <c r="I39" s="97"/>
      <c r="J39" s="97"/>
      <c r="K39" s="97"/>
      <c r="L39" s="97"/>
      <c r="M39" s="95"/>
      <c r="N39" s="95"/>
      <c r="O39" s="98"/>
    </row>
    <row r="40" spans="2:15" ht="14.6" x14ac:dyDescent="0.4">
      <c r="B40" s="68" t="s">
        <v>64</v>
      </c>
      <c r="C40" s="10"/>
      <c r="N40" s="4"/>
      <c r="O40" s="109"/>
    </row>
    <row r="41" spans="2:15" ht="14.6" x14ac:dyDescent="0.4">
      <c r="B41" s="68" t="s">
        <v>65</v>
      </c>
      <c r="N41" s="4"/>
      <c r="O41" s="110"/>
    </row>
    <row r="42" spans="2:15" ht="14.6" x14ac:dyDescent="0.4">
      <c r="B42" s="68" t="s">
        <v>188</v>
      </c>
      <c r="C42" s="10"/>
      <c r="D42" s="10"/>
      <c r="E42" s="10"/>
      <c r="F42" s="10"/>
      <c r="G42" s="10"/>
      <c r="H42" s="10"/>
      <c r="I42" s="10"/>
      <c r="J42" s="10"/>
      <c r="K42" s="10"/>
      <c r="L42" s="10"/>
      <c r="M42" s="9"/>
      <c r="N42" s="9"/>
      <c r="O42" s="99"/>
    </row>
    <row r="43" spans="2:15" ht="14.6" x14ac:dyDescent="0.4">
      <c r="B43" s="306" t="s">
        <v>66</v>
      </c>
      <c r="C43" s="56"/>
      <c r="D43" s="56"/>
      <c r="E43" s="56"/>
      <c r="F43" s="56"/>
      <c r="G43" s="56"/>
      <c r="H43" s="56"/>
      <c r="I43" s="56"/>
      <c r="J43" s="56"/>
      <c r="K43" s="56"/>
      <c r="L43" s="56"/>
      <c r="M43" s="56"/>
      <c r="N43" s="56"/>
      <c r="O43" s="100"/>
    </row>
    <row r="44" spans="2:15" x14ac:dyDescent="0.35">
      <c r="M44" s="2"/>
    </row>
    <row r="45" spans="2:15" ht="14.6" x14ac:dyDescent="0.4">
      <c r="B45" s="22"/>
      <c r="C45" s="22"/>
      <c r="D45" s="22"/>
      <c r="E45" s="22"/>
      <c r="F45" s="22"/>
      <c r="G45" s="22"/>
      <c r="H45" s="22"/>
      <c r="I45" s="22"/>
      <c r="J45" s="22"/>
      <c r="K45" s="22"/>
      <c r="L45" s="22"/>
      <c r="M45" s="9"/>
    </row>
    <row r="46" spans="2:15" ht="14.6" x14ac:dyDescent="0.4">
      <c r="B46" s="22"/>
      <c r="C46" s="22"/>
      <c r="D46" s="22"/>
      <c r="E46" s="22"/>
      <c r="F46" s="22"/>
      <c r="G46" s="22"/>
      <c r="H46" s="22"/>
      <c r="I46" s="22"/>
      <c r="J46" s="22"/>
      <c r="K46" s="22"/>
      <c r="L46" s="22"/>
      <c r="M46"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3B36B-E55D-4EB9-AD86-431BACFB88F8}">
  <sheetPr>
    <tabColor theme="3"/>
  </sheetPr>
  <dimension ref="A1:AD45"/>
  <sheetViews>
    <sheetView showGridLines="0" zoomScaleNormal="100" workbookViewId="0">
      <selection activeCell="F12" sqref="F12"/>
    </sheetView>
  </sheetViews>
  <sheetFormatPr defaultColWidth="9" defaultRowHeight="14.6" x14ac:dyDescent="0.4"/>
  <cols>
    <col min="1" max="1" width="2.1328125" style="22" customWidth="1"/>
    <col min="2" max="2" width="25.73046875" style="22" customWidth="1"/>
    <col min="3" max="3" width="20.73046875" style="22" customWidth="1"/>
    <col min="4" max="8" width="11" style="22" customWidth="1"/>
    <col min="9" max="13" width="11" style="32" customWidth="1"/>
    <col min="14" max="14" width="13" style="32" bestFit="1" customWidth="1"/>
    <col min="15" max="19" width="20.73046875" style="32" customWidth="1"/>
    <col min="20" max="20" width="20.73046875" style="22" customWidth="1"/>
    <col min="21" max="21" width="12.3984375" style="22" customWidth="1"/>
    <col min="22" max="22" width="13.73046875" style="32" customWidth="1"/>
    <col min="23" max="23" width="0.73046875" style="32" customWidth="1"/>
    <col min="24" max="26" width="12.3984375" style="32" customWidth="1"/>
    <col min="27" max="27" width="13.73046875" style="32" customWidth="1"/>
    <col min="28" max="29" width="2.3984375" style="32" customWidth="1"/>
    <col min="30" max="30" width="12.3984375" style="22" customWidth="1"/>
    <col min="31" max="31" width="13.3984375" style="22" customWidth="1"/>
    <col min="32" max="16384" width="9" style="22"/>
  </cols>
  <sheetData>
    <row r="1" spans="1:30" ht="18.45" x14ac:dyDescent="0.5">
      <c r="A1" s="146" t="s">
        <v>0</v>
      </c>
      <c r="B1" s="125" t="s">
        <v>67</v>
      </c>
      <c r="C1" s="125"/>
      <c r="D1" s="125"/>
      <c r="E1" s="125"/>
      <c r="F1" s="125"/>
      <c r="G1" s="125"/>
      <c r="H1" s="125"/>
      <c r="I1" s="125"/>
      <c r="J1" s="125"/>
      <c r="K1" s="125"/>
      <c r="L1" s="125"/>
      <c r="M1" s="125"/>
      <c r="N1" s="125"/>
    </row>
    <row r="2" spans="1:30" ht="29.25" customHeight="1" x14ac:dyDescent="0.4">
      <c r="B2" s="32"/>
      <c r="H2" s="83"/>
    </row>
    <row r="3" spans="1:30" ht="15" customHeight="1" x14ac:dyDescent="0.4">
      <c r="B3" s="96" t="s">
        <v>25</v>
      </c>
      <c r="C3" s="97"/>
      <c r="D3" s="97"/>
      <c r="E3" s="97"/>
      <c r="F3" s="97"/>
      <c r="G3" s="97"/>
      <c r="H3" s="97"/>
      <c r="I3" s="97"/>
      <c r="J3" s="97"/>
      <c r="K3" s="97"/>
      <c r="L3" s="97"/>
      <c r="M3" s="97"/>
      <c r="N3" s="98"/>
    </row>
    <row r="4" spans="1:30" ht="15" customHeight="1" x14ac:dyDescent="0.4">
      <c r="B4" s="68" t="s">
        <v>218</v>
      </c>
      <c r="C4" s="10"/>
      <c r="D4" s="5"/>
      <c r="E4" s="5"/>
      <c r="F4" s="5"/>
      <c r="G4" s="5"/>
      <c r="H4" s="5"/>
      <c r="I4" s="5"/>
      <c r="J4" s="5"/>
      <c r="K4" s="5"/>
      <c r="L4" s="5"/>
      <c r="M4" s="5"/>
      <c r="N4" s="109"/>
    </row>
    <row r="5" spans="1:30" ht="15" customHeight="1" x14ac:dyDescent="0.4">
      <c r="B5" s="68" t="s">
        <v>219</v>
      </c>
      <c r="C5" s="5"/>
      <c r="D5" s="5"/>
      <c r="E5" s="5"/>
      <c r="F5" s="5"/>
      <c r="G5" s="5"/>
      <c r="H5" s="5"/>
      <c r="I5" s="5"/>
      <c r="J5" s="5"/>
      <c r="K5" s="5"/>
      <c r="L5" s="5"/>
      <c r="M5" s="5"/>
      <c r="N5" s="110"/>
    </row>
    <row r="6" spans="1:30" ht="15" customHeight="1" x14ac:dyDescent="0.4">
      <c r="B6" s="306" t="s">
        <v>220</v>
      </c>
      <c r="C6" s="278"/>
      <c r="D6" s="278"/>
      <c r="E6" s="278"/>
      <c r="F6" s="278"/>
      <c r="G6" s="278"/>
      <c r="H6" s="278"/>
      <c r="I6" s="278"/>
      <c r="J6" s="278"/>
      <c r="K6" s="278"/>
      <c r="L6" s="278"/>
      <c r="M6" s="278"/>
      <c r="N6" s="100"/>
    </row>
    <row r="7" spans="1:30" ht="18.649999999999999" customHeight="1" x14ac:dyDescent="0.4">
      <c r="H7" s="83"/>
    </row>
    <row r="8" spans="1:30" x14ac:dyDescent="0.4">
      <c r="B8" s="156" t="s">
        <v>68</v>
      </c>
      <c r="C8" s="157"/>
      <c r="D8" s="157"/>
      <c r="E8" s="157"/>
      <c r="F8" s="157"/>
      <c r="G8" s="157"/>
      <c r="H8" s="179"/>
      <c r="I8" s="179"/>
      <c r="J8" s="179"/>
      <c r="K8" s="179"/>
      <c r="L8" s="179"/>
      <c r="M8" s="179"/>
      <c r="N8" s="180"/>
      <c r="V8" s="72"/>
      <c r="AD8" s="32"/>
    </row>
    <row r="9" spans="1:30" ht="29.15" x14ac:dyDescent="0.4">
      <c r="B9" s="64" t="s">
        <v>30</v>
      </c>
      <c r="C9" s="181" t="s">
        <v>31</v>
      </c>
      <c r="D9" s="175" t="s">
        <v>69</v>
      </c>
      <c r="E9" s="52" t="s">
        <v>189</v>
      </c>
      <c r="F9" s="52" t="s">
        <v>70</v>
      </c>
      <c r="G9" s="63" t="s">
        <v>71</v>
      </c>
      <c r="H9" s="350" t="s">
        <v>72</v>
      </c>
      <c r="I9" s="350" t="s">
        <v>73</v>
      </c>
      <c r="J9" s="350" t="s">
        <v>74</v>
      </c>
      <c r="K9" s="350" t="s">
        <v>75</v>
      </c>
      <c r="L9" s="350" t="s">
        <v>76</v>
      </c>
      <c r="M9" s="350" t="s">
        <v>77</v>
      </c>
      <c r="N9" s="351" t="s">
        <v>78</v>
      </c>
      <c r="O9" s="22"/>
      <c r="P9" s="22"/>
      <c r="Q9" s="22"/>
      <c r="R9" s="22"/>
      <c r="S9" s="22"/>
      <c r="V9" s="22"/>
      <c r="W9" s="22"/>
      <c r="X9" s="22"/>
      <c r="Y9" s="22"/>
      <c r="Z9" s="22"/>
      <c r="AA9" s="22"/>
      <c r="AB9" s="22"/>
      <c r="AC9" s="22"/>
    </row>
    <row r="10" spans="1:30" ht="15" customHeight="1" x14ac:dyDescent="0.4">
      <c r="B10" s="29" t="s">
        <v>38</v>
      </c>
      <c r="C10" s="117" t="s">
        <v>39</v>
      </c>
      <c r="D10" s="176">
        <v>50000</v>
      </c>
      <c r="E10" s="177">
        <v>0</v>
      </c>
      <c r="F10" s="177">
        <v>10000</v>
      </c>
      <c r="G10" s="168">
        <f>+D10-E10-F10</f>
        <v>40000</v>
      </c>
      <c r="H10" s="314">
        <v>43831</v>
      </c>
      <c r="I10" s="314">
        <v>43831</v>
      </c>
      <c r="J10" s="315">
        <v>0.25</v>
      </c>
      <c r="K10" s="316">
        <v>48</v>
      </c>
      <c r="L10" s="317">
        <v>0</v>
      </c>
      <c r="M10" s="317" t="s">
        <v>79</v>
      </c>
      <c r="N10" s="318" t="s">
        <v>80</v>
      </c>
      <c r="O10" s="22"/>
      <c r="P10" s="22"/>
      <c r="Q10" s="22"/>
      <c r="R10" s="22"/>
      <c r="S10" s="22"/>
      <c r="V10" s="22"/>
      <c r="W10" s="22"/>
      <c r="X10" s="22"/>
      <c r="Y10" s="22"/>
      <c r="Z10" s="22"/>
      <c r="AA10" s="22"/>
      <c r="AB10" s="22"/>
      <c r="AC10" s="22"/>
    </row>
    <row r="11" spans="1:30" ht="15" customHeight="1" x14ac:dyDescent="0.4">
      <c r="B11" s="240" t="s">
        <v>40</v>
      </c>
      <c r="C11" s="242" t="s">
        <v>39</v>
      </c>
      <c r="D11" s="243">
        <v>50000</v>
      </c>
      <c r="E11" s="244">
        <v>0</v>
      </c>
      <c r="F11" s="244">
        <v>0</v>
      </c>
      <c r="G11" s="245">
        <f>+D11-E11-F11</f>
        <v>50000</v>
      </c>
      <c r="H11" s="319">
        <v>43831</v>
      </c>
      <c r="I11" s="319">
        <v>43831</v>
      </c>
      <c r="J11" s="320">
        <v>0.25</v>
      </c>
      <c r="K11" s="321">
        <v>48</v>
      </c>
      <c r="L11" s="322">
        <v>0</v>
      </c>
      <c r="M11" s="322" t="s">
        <v>79</v>
      </c>
      <c r="N11" s="323" t="s">
        <v>80</v>
      </c>
      <c r="O11" s="22"/>
      <c r="P11" s="22"/>
      <c r="Q11" s="22"/>
      <c r="R11" s="22"/>
      <c r="S11" s="22"/>
      <c r="V11" s="22"/>
      <c r="W11" s="22"/>
      <c r="X11" s="22"/>
      <c r="Y11" s="22"/>
      <c r="Z11" s="22"/>
      <c r="AA11" s="22"/>
      <c r="AB11" s="22"/>
      <c r="AC11" s="22"/>
    </row>
    <row r="12" spans="1:30" ht="15" customHeight="1" x14ac:dyDescent="0.4">
      <c r="B12" s="29" t="s">
        <v>41</v>
      </c>
      <c r="C12" s="117" t="s">
        <v>42</v>
      </c>
      <c r="D12" s="178">
        <v>50000</v>
      </c>
      <c r="E12" s="85">
        <v>0</v>
      </c>
      <c r="F12" s="85">
        <v>10000</v>
      </c>
      <c r="G12" s="167">
        <f t="shared" ref="G12:G22" si="0">+D12-E12-F12</f>
        <v>40000</v>
      </c>
      <c r="H12" s="314">
        <v>43831</v>
      </c>
      <c r="I12" s="314">
        <v>43466</v>
      </c>
      <c r="J12" s="324">
        <v>0.25</v>
      </c>
      <c r="K12" s="316">
        <v>48</v>
      </c>
      <c r="L12" s="317">
        <v>12</v>
      </c>
      <c r="M12" s="317" t="s">
        <v>81</v>
      </c>
      <c r="N12" s="318" t="s">
        <v>82</v>
      </c>
      <c r="O12" s="22"/>
      <c r="P12" s="22"/>
      <c r="Q12" s="22"/>
      <c r="R12" s="22"/>
      <c r="S12" s="22"/>
      <c r="V12" s="22"/>
      <c r="W12" s="22"/>
      <c r="X12" s="22"/>
      <c r="Y12" s="22"/>
      <c r="Z12" s="22"/>
      <c r="AA12" s="22"/>
      <c r="AB12" s="22"/>
      <c r="AC12" s="22"/>
    </row>
    <row r="13" spans="1:30" s="10" customFormat="1" ht="15" customHeight="1" x14ac:dyDescent="0.4">
      <c r="B13" s="29" t="s">
        <v>43</v>
      </c>
      <c r="C13" s="117" t="s">
        <v>42</v>
      </c>
      <c r="D13" s="178">
        <v>1000000</v>
      </c>
      <c r="E13" s="85">
        <v>0</v>
      </c>
      <c r="F13" s="85">
        <v>0</v>
      </c>
      <c r="G13" s="167">
        <f t="shared" si="0"/>
        <v>1000000</v>
      </c>
      <c r="H13" s="314">
        <v>43831</v>
      </c>
      <c r="I13" s="314">
        <v>43466</v>
      </c>
      <c r="J13" s="324">
        <v>0.25</v>
      </c>
      <c r="K13" s="316">
        <v>48</v>
      </c>
      <c r="L13" s="317">
        <v>12</v>
      </c>
      <c r="M13" s="317" t="s">
        <v>81</v>
      </c>
      <c r="N13" s="318" t="s">
        <v>82</v>
      </c>
      <c r="O13" s="43"/>
      <c r="P13" s="44"/>
    </row>
    <row r="14" spans="1:30" ht="15" customHeight="1" x14ac:dyDescent="0.4">
      <c r="B14" s="29" t="s">
        <v>44</v>
      </c>
      <c r="C14" s="117" t="s">
        <v>42</v>
      </c>
      <c r="D14" s="178">
        <v>750000</v>
      </c>
      <c r="E14" s="85">
        <v>0</v>
      </c>
      <c r="F14" s="85">
        <v>0</v>
      </c>
      <c r="G14" s="167">
        <f t="shared" si="0"/>
        <v>750000</v>
      </c>
      <c r="H14" s="314">
        <v>43831</v>
      </c>
      <c r="I14" s="314">
        <v>43466</v>
      </c>
      <c r="J14" s="324">
        <v>0.25</v>
      </c>
      <c r="K14" s="316">
        <v>48</v>
      </c>
      <c r="L14" s="317">
        <v>12</v>
      </c>
      <c r="M14" s="317" t="s">
        <v>81</v>
      </c>
      <c r="N14" s="318" t="s">
        <v>82</v>
      </c>
      <c r="O14" s="43"/>
      <c r="P14" s="44"/>
      <c r="Q14" s="22"/>
      <c r="R14" s="22"/>
      <c r="S14" s="22"/>
      <c r="V14" s="22"/>
      <c r="W14" s="22"/>
      <c r="X14" s="22"/>
      <c r="Y14" s="22"/>
      <c r="Z14" s="22"/>
      <c r="AA14" s="22"/>
      <c r="AB14" s="22"/>
      <c r="AC14" s="22"/>
    </row>
    <row r="15" spans="1:30" ht="15" customHeight="1" x14ac:dyDescent="0.4">
      <c r="B15" s="29" t="s">
        <v>45</v>
      </c>
      <c r="C15" s="117" t="s">
        <v>42</v>
      </c>
      <c r="D15" s="178">
        <v>100000</v>
      </c>
      <c r="E15" s="85">
        <v>20000</v>
      </c>
      <c r="F15" s="85">
        <v>80000</v>
      </c>
      <c r="G15" s="167">
        <f t="shared" si="0"/>
        <v>0</v>
      </c>
      <c r="H15" s="314">
        <v>43831</v>
      </c>
      <c r="I15" s="314">
        <v>43466</v>
      </c>
      <c r="J15" s="324">
        <v>0.25</v>
      </c>
      <c r="K15" s="316">
        <v>48</v>
      </c>
      <c r="L15" s="317">
        <v>12</v>
      </c>
      <c r="M15" s="317" t="s">
        <v>81</v>
      </c>
      <c r="N15" s="318" t="s">
        <v>82</v>
      </c>
      <c r="O15" s="43"/>
      <c r="P15" s="44"/>
      <c r="Q15" s="22"/>
      <c r="R15" s="22"/>
      <c r="S15" s="22"/>
      <c r="V15" s="22"/>
      <c r="W15" s="22"/>
      <c r="X15" s="22"/>
      <c r="Y15" s="22"/>
      <c r="Z15" s="22"/>
      <c r="AA15" s="22"/>
      <c r="AB15" s="22"/>
      <c r="AC15" s="22"/>
    </row>
    <row r="16" spans="1:30" ht="15" customHeight="1" x14ac:dyDescent="0.4">
      <c r="B16" s="29" t="s">
        <v>46</v>
      </c>
      <c r="C16" s="117" t="s">
        <v>42</v>
      </c>
      <c r="D16" s="178">
        <v>100000</v>
      </c>
      <c r="E16" s="85">
        <v>100000</v>
      </c>
      <c r="F16" s="85">
        <v>0</v>
      </c>
      <c r="G16" s="167">
        <f t="shared" si="0"/>
        <v>0</v>
      </c>
      <c r="H16" s="314">
        <v>43831</v>
      </c>
      <c r="I16" s="314">
        <v>43831</v>
      </c>
      <c r="J16" s="324">
        <v>0.25</v>
      </c>
      <c r="K16" s="316">
        <v>48</v>
      </c>
      <c r="L16" s="317">
        <v>12</v>
      </c>
      <c r="M16" s="317" t="s">
        <v>81</v>
      </c>
      <c r="N16" s="318" t="s">
        <v>82</v>
      </c>
      <c r="O16" s="43"/>
      <c r="P16" s="44"/>
      <c r="Q16" s="22"/>
      <c r="R16" s="22"/>
      <c r="S16" s="22"/>
      <c r="V16" s="22"/>
      <c r="W16" s="22"/>
      <c r="X16" s="22"/>
      <c r="Y16" s="22"/>
      <c r="Z16" s="22"/>
      <c r="AA16" s="22"/>
      <c r="AB16" s="22"/>
      <c r="AC16" s="22"/>
    </row>
    <row r="17" spans="2:29" ht="15" customHeight="1" x14ac:dyDescent="0.4">
      <c r="B17" s="29" t="s">
        <v>41</v>
      </c>
      <c r="C17" s="117" t="s">
        <v>42</v>
      </c>
      <c r="D17" s="178">
        <v>25000</v>
      </c>
      <c r="E17" s="85">
        <v>0</v>
      </c>
      <c r="F17" s="85">
        <v>5000</v>
      </c>
      <c r="G17" s="167">
        <f t="shared" ref="G17" si="1">+D17-E17-F17</f>
        <v>20000</v>
      </c>
      <c r="H17" s="314">
        <v>44075</v>
      </c>
      <c r="I17" s="314">
        <v>44075</v>
      </c>
      <c r="J17" s="324">
        <v>0.4</v>
      </c>
      <c r="K17" s="316">
        <v>48</v>
      </c>
      <c r="L17" s="317">
        <v>12</v>
      </c>
      <c r="M17" s="317" t="s">
        <v>81</v>
      </c>
      <c r="N17" s="318" t="s">
        <v>82</v>
      </c>
      <c r="O17" s="43"/>
      <c r="P17" s="44"/>
      <c r="Q17" s="22"/>
      <c r="R17" s="22"/>
      <c r="S17" s="22"/>
      <c r="V17" s="22"/>
      <c r="W17" s="22"/>
      <c r="X17" s="22"/>
      <c r="Y17" s="22"/>
      <c r="Z17" s="22"/>
      <c r="AA17" s="22"/>
      <c r="AB17" s="22"/>
      <c r="AC17" s="22"/>
    </row>
    <row r="18" spans="2:29" ht="15" customHeight="1" x14ac:dyDescent="0.4">
      <c r="B18" s="29" t="s">
        <v>47</v>
      </c>
      <c r="C18" s="117" t="s">
        <v>42</v>
      </c>
      <c r="D18" s="178">
        <v>100000</v>
      </c>
      <c r="E18" s="85">
        <v>0</v>
      </c>
      <c r="F18" s="85">
        <v>0</v>
      </c>
      <c r="G18" s="167">
        <f t="shared" si="0"/>
        <v>100000</v>
      </c>
      <c r="H18" s="314">
        <v>44075</v>
      </c>
      <c r="I18" s="314">
        <v>44075</v>
      </c>
      <c r="J18" s="324">
        <v>0.4</v>
      </c>
      <c r="K18" s="316">
        <v>48</v>
      </c>
      <c r="L18" s="317">
        <v>12</v>
      </c>
      <c r="M18" s="317" t="s">
        <v>81</v>
      </c>
      <c r="N18" s="318" t="s">
        <v>82</v>
      </c>
      <c r="O18" s="43"/>
      <c r="P18" s="44"/>
      <c r="Q18" s="22"/>
      <c r="R18" s="22"/>
      <c r="S18" s="22"/>
      <c r="V18" s="22"/>
      <c r="W18" s="22"/>
      <c r="X18" s="22"/>
      <c r="Y18" s="22"/>
      <c r="Z18" s="22"/>
      <c r="AA18" s="22"/>
      <c r="AB18" s="22"/>
      <c r="AC18" s="22"/>
    </row>
    <row r="19" spans="2:29" ht="15" customHeight="1" x14ac:dyDescent="0.4">
      <c r="B19" s="29" t="s">
        <v>48</v>
      </c>
      <c r="C19" s="117" t="s">
        <v>42</v>
      </c>
      <c r="D19" s="178">
        <v>100000</v>
      </c>
      <c r="E19" s="85">
        <v>0</v>
      </c>
      <c r="F19" s="85">
        <v>0</v>
      </c>
      <c r="G19" s="167">
        <f t="shared" si="0"/>
        <v>100000</v>
      </c>
      <c r="H19" s="314">
        <v>44075</v>
      </c>
      <c r="I19" s="314">
        <v>44075</v>
      </c>
      <c r="J19" s="324">
        <v>0.4</v>
      </c>
      <c r="K19" s="316">
        <v>48</v>
      </c>
      <c r="L19" s="317">
        <v>12</v>
      </c>
      <c r="M19" s="317" t="s">
        <v>81</v>
      </c>
      <c r="N19" s="318" t="s">
        <v>82</v>
      </c>
      <c r="O19" s="43"/>
      <c r="P19" s="44"/>
      <c r="Q19" s="22"/>
      <c r="R19" s="22"/>
      <c r="S19" s="22"/>
      <c r="V19" s="22"/>
      <c r="W19" s="22"/>
      <c r="X19" s="22"/>
      <c r="Y19" s="22"/>
      <c r="Z19" s="22"/>
      <c r="AA19" s="22"/>
      <c r="AB19" s="22"/>
      <c r="AC19" s="22"/>
    </row>
    <row r="20" spans="2:29" ht="15" customHeight="1" x14ac:dyDescent="0.4">
      <c r="B20" s="240" t="s">
        <v>49</v>
      </c>
      <c r="C20" s="242" t="s">
        <v>42</v>
      </c>
      <c r="D20" s="243">
        <v>100000</v>
      </c>
      <c r="E20" s="244">
        <v>0</v>
      </c>
      <c r="F20" s="244">
        <v>0</v>
      </c>
      <c r="G20" s="245">
        <f t="shared" si="0"/>
        <v>100000</v>
      </c>
      <c r="H20" s="339">
        <v>44075</v>
      </c>
      <c r="I20" s="319">
        <v>44075</v>
      </c>
      <c r="J20" s="320">
        <v>0.4</v>
      </c>
      <c r="K20" s="321">
        <v>48</v>
      </c>
      <c r="L20" s="322">
        <v>12</v>
      </c>
      <c r="M20" s="322" t="s">
        <v>81</v>
      </c>
      <c r="N20" s="323" t="s">
        <v>82</v>
      </c>
      <c r="O20" s="43"/>
      <c r="P20" s="140"/>
      <c r="Q20" s="22"/>
      <c r="R20" s="22"/>
      <c r="S20" s="22"/>
      <c r="V20" s="22"/>
      <c r="W20" s="22"/>
      <c r="X20" s="22"/>
      <c r="Y20" s="22"/>
      <c r="Z20" s="22"/>
      <c r="AA20" s="22"/>
      <c r="AB20" s="22"/>
      <c r="AC20" s="22"/>
    </row>
    <row r="21" spans="2:29" ht="15" customHeight="1" x14ac:dyDescent="0.4">
      <c r="B21" s="29" t="s">
        <v>50</v>
      </c>
      <c r="C21" s="117" t="s">
        <v>51</v>
      </c>
      <c r="D21" s="178">
        <v>5000</v>
      </c>
      <c r="E21" s="85">
        <v>0</v>
      </c>
      <c r="F21" s="85">
        <v>0</v>
      </c>
      <c r="G21" s="167">
        <f t="shared" si="0"/>
        <v>5000</v>
      </c>
      <c r="H21" s="314">
        <v>44075</v>
      </c>
      <c r="I21" s="314">
        <v>44075</v>
      </c>
      <c r="J21" s="324">
        <v>0.4</v>
      </c>
      <c r="K21" s="316">
        <v>24</v>
      </c>
      <c r="L21" s="317">
        <v>0</v>
      </c>
      <c r="M21" s="317" t="s">
        <v>81</v>
      </c>
      <c r="N21" s="318" t="s">
        <v>82</v>
      </c>
      <c r="O21" s="43"/>
      <c r="P21" s="44"/>
      <c r="Q21" s="22"/>
      <c r="R21" s="22"/>
      <c r="S21" s="22"/>
      <c r="V21" s="22"/>
      <c r="W21" s="22"/>
      <c r="X21" s="22"/>
      <c r="Y21" s="22"/>
      <c r="Z21" s="22"/>
      <c r="AA21" s="22"/>
      <c r="AB21" s="22"/>
      <c r="AC21" s="22"/>
    </row>
    <row r="22" spans="2:29" ht="15" customHeight="1" x14ac:dyDescent="0.4">
      <c r="B22" s="29" t="s">
        <v>52</v>
      </c>
      <c r="C22" s="117" t="s">
        <v>51</v>
      </c>
      <c r="D22" s="178">
        <v>5000</v>
      </c>
      <c r="E22" s="85">
        <v>0</v>
      </c>
      <c r="F22" s="85">
        <v>0</v>
      </c>
      <c r="G22" s="167">
        <f t="shared" si="0"/>
        <v>5000</v>
      </c>
      <c r="H22" s="314">
        <v>44075</v>
      </c>
      <c r="I22" s="314">
        <v>44075</v>
      </c>
      <c r="J22" s="324">
        <v>0.4</v>
      </c>
      <c r="K22" s="316">
        <v>24</v>
      </c>
      <c r="L22" s="317">
        <v>0</v>
      </c>
      <c r="M22" s="317" t="s">
        <v>81</v>
      </c>
      <c r="N22" s="318" t="s">
        <v>82</v>
      </c>
      <c r="O22" s="43"/>
      <c r="P22" s="22"/>
      <c r="Q22" s="22"/>
      <c r="R22" s="22"/>
      <c r="S22" s="22"/>
      <c r="V22" s="82"/>
      <c r="W22" s="22"/>
      <c r="X22" s="22"/>
      <c r="Y22" s="22"/>
      <c r="Z22" s="22"/>
      <c r="AA22" s="22"/>
      <c r="AB22" s="22"/>
      <c r="AC22" s="22"/>
    </row>
    <row r="23" spans="2:29" ht="15" customHeight="1" x14ac:dyDescent="0.4">
      <c r="B23" s="219" t="s">
        <v>59</v>
      </c>
      <c r="C23" s="220"/>
      <c r="D23" s="221">
        <f>SUM(D10:D22)</f>
        <v>2435000</v>
      </c>
      <c r="E23" s="222">
        <f>SUM(E10:E22)</f>
        <v>120000</v>
      </c>
      <c r="F23" s="222">
        <f>SUM(F10:F22)</f>
        <v>105000</v>
      </c>
      <c r="G23" s="223">
        <f>SUM(G10:G22)</f>
        <v>2210000</v>
      </c>
      <c r="H23" s="224"/>
      <c r="I23" s="224"/>
      <c r="J23" s="225"/>
      <c r="K23" s="225"/>
      <c r="L23" s="225"/>
      <c r="M23" s="225"/>
      <c r="N23" s="226"/>
      <c r="O23" s="43"/>
      <c r="P23" s="44"/>
      <c r="Q23" s="22"/>
      <c r="R23" s="22"/>
      <c r="S23" s="22"/>
      <c r="V23" s="22"/>
      <c r="W23" s="22"/>
      <c r="X23" s="22"/>
      <c r="Y23" s="22"/>
      <c r="Z23" s="22"/>
      <c r="AA23" s="22"/>
      <c r="AB23" s="22"/>
      <c r="AC23" s="22"/>
    </row>
    <row r="24" spans="2:29" ht="6.75" customHeight="1" x14ac:dyDescent="0.4">
      <c r="B24" s="46"/>
      <c r="C24" s="46"/>
      <c r="D24" s="46"/>
      <c r="E24" s="46"/>
      <c r="F24" s="46"/>
      <c r="G24" s="46"/>
      <c r="H24" s="70"/>
      <c r="I24" s="70"/>
      <c r="J24" s="41"/>
      <c r="K24" s="41"/>
      <c r="L24" s="41"/>
      <c r="M24" s="41"/>
      <c r="N24" s="55"/>
      <c r="O24" s="22"/>
      <c r="P24" s="22"/>
      <c r="Q24" s="22"/>
      <c r="R24" s="22"/>
      <c r="S24" s="22"/>
      <c r="V24" s="22"/>
      <c r="W24" s="22"/>
      <c r="X24" s="22"/>
      <c r="Y24" s="22"/>
      <c r="Z24" s="22"/>
      <c r="AA24" s="22"/>
      <c r="AB24" s="22"/>
      <c r="AC24" s="22"/>
    </row>
    <row r="25" spans="2:29" ht="15" customHeight="1" x14ac:dyDescent="0.4">
      <c r="B25" s="49"/>
      <c r="C25" s="49"/>
      <c r="D25" s="111"/>
      <c r="E25" s="49"/>
      <c r="F25" s="111"/>
      <c r="G25" s="111"/>
      <c r="H25" s="111"/>
      <c r="N25" s="71"/>
    </row>
    <row r="26" spans="2:29" ht="15" customHeight="1" x14ac:dyDescent="0.4">
      <c r="B26" s="74" t="s">
        <v>83</v>
      </c>
      <c r="C26" s="75"/>
      <c r="D26" s="75"/>
      <c r="E26" s="75"/>
      <c r="F26" s="75"/>
      <c r="G26" s="75"/>
      <c r="H26" s="75"/>
      <c r="I26" s="76"/>
      <c r="J26" s="76"/>
      <c r="K26" s="76"/>
      <c r="L26" s="76"/>
      <c r="M26" s="76"/>
      <c r="N26" s="86">
        <v>2500000</v>
      </c>
    </row>
    <row r="27" spans="2:29" ht="15" customHeight="1" x14ac:dyDescent="0.4">
      <c r="B27" s="107" t="s">
        <v>84</v>
      </c>
      <c r="C27" s="49"/>
      <c r="D27" s="49"/>
      <c r="E27" s="49"/>
      <c r="F27" s="49"/>
      <c r="G27" s="49"/>
      <c r="H27" s="49"/>
      <c r="I27" s="9"/>
      <c r="J27" s="9"/>
      <c r="K27" s="9"/>
      <c r="L27" s="9"/>
      <c r="M27" s="9"/>
      <c r="N27" s="108">
        <f>+N26/N32</f>
        <v>0.1953125</v>
      </c>
    </row>
    <row r="28" spans="2:29" ht="5.15" customHeight="1" x14ac:dyDescent="0.4">
      <c r="B28" s="77"/>
      <c r="C28" s="78"/>
      <c r="D28" s="78"/>
      <c r="E28" s="78"/>
      <c r="F28" s="78"/>
      <c r="G28" s="78"/>
      <c r="H28" s="78"/>
      <c r="I28" s="73"/>
      <c r="J28" s="73"/>
      <c r="K28" s="73"/>
      <c r="L28" s="73"/>
      <c r="M28" s="73"/>
      <c r="N28" s="87"/>
    </row>
    <row r="29" spans="2:29" ht="15" customHeight="1" x14ac:dyDescent="0.4">
      <c r="B29" s="77" t="s">
        <v>85</v>
      </c>
      <c r="C29" s="78"/>
      <c r="D29" s="78"/>
      <c r="E29" s="78"/>
      <c r="F29" s="78"/>
      <c r="G29" s="78"/>
      <c r="H29" s="78"/>
      <c r="I29" s="73"/>
      <c r="J29" s="73"/>
      <c r="K29" s="73"/>
      <c r="L29" s="73"/>
      <c r="M29" s="73"/>
      <c r="N29" s="87">
        <f>+N26-D23+E23</f>
        <v>185000</v>
      </c>
      <c r="O29" s="112"/>
    </row>
    <row r="30" spans="2:29" ht="15" customHeight="1" x14ac:dyDescent="0.4">
      <c r="B30" s="107" t="s">
        <v>84</v>
      </c>
      <c r="C30" s="49"/>
      <c r="D30" s="49"/>
      <c r="E30" s="49"/>
      <c r="F30" s="49"/>
      <c r="G30" s="49"/>
      <c r="H30" s="49"/>
      <c r="I30" s="9"/>
      <c r="J30" s="9"/>
      <c r="K30" s="9"/>
      <c r="L30" s="9"/>
      <c r="M30" s="9"/>
      <c r="N30" s="108">
        <f>+N29/N32</f>
        <v>1.4453125000000001E-2</v>
      </c>
    </row>
    <row r="31" spans="2:29" ht="5.15" customHeight="1" x14ac:dyDescent="0.4">
      <c r="B31" s="77"/>
      <c r="C31" s="78"/>
      <c r="D31" s="78"/>
      <c r="E31" s="78"/>
      <c r="F31" s="78"/>
      <c r="G31" s="78"/>
      <c r="H31" s="78"/>
      <c r="I31" s="73"/>
      <c r="J31" s="73"/>
      <c r="K31" s="73"/>
      <c r="L31" s="73"/>
      <c r="M31" s="73"/>
      <c r="N31" s="87"/>
    </row>
    <row r="32" spans="2:29" ht="15" customHeight="1" x14ac:dyDescent="0.4">
      <c r="B32" s="79" t="s">
        <v>86</v>
      </c>
      <c r="C32" s="80"/>
      <c r="D32" s="80"/>
      <c r="E32" s="80"/>
      <c r="F32" s="80"/>
      <c r="G32" s="80"/>
      <c r="H32" s="80"/>
      <c r="I32" s="20"/>
      <c r="J32" s="20"/>
      <c r="K32" s="20"/>
      <c r="L32" s="20"/>
      <c r="M32" s="20"/>
      <c r="N32" s="88">
        <f>+'1. Current Cap Table'!K28</f>
        <v>12800000</v>
      </c>
    </row>
    <row r="33" spans="2:29" ht="12.75" customHeight="1" x14ac:dyDescent="0.4">
      <c r="B33" s="49"/>
      <c r="C33" s="49"/>
      <c r="D33" s="49"/>
      <c r="E33" s="49"/>
      <c r="F33" s="49"/>
      <c r="G33" s="49"/>
      <c r="H33" s="49"/>
    </row>
    <row r="34" spans="2:29" ht="12.75" customHeight="1" x14ac:dyDescent="0.4">
      <c r="B34" s="96" t="s">
        <v>63</v>
      </c>
      <c r="C34" s="97"/>
      <c r="D34" s="97"/>
      <c r="E34" s="97"/>
      <c r="F34" s="97"/>
      <c r="G34" s="97"/>
      <c r="H34" s="97"/>
      <c r="I34" s="97"/>
      <c r="J34" s="97"/>
      <c r="K34" s="97"/>
      <c r="L34" s="97"/>
      <c r="M34" s="97"/>
      <c r="N34" s="98"/>
    </row>
    <row r="35" spans="2:29" ht="12.75" customHeight="1" x14ac:dyDescent="0.4">
      <c r="B35" s="277" t="s">
        <v>87</v>
      </c>
      <c r="C35" s="10"/>
      <c r="D35" s="2"/>
      <c r="E35" s="2"/>
      <c r="F35" s="2"/>
      <c r="G35" s="2"/>
      <c r="H35" s="2"/>
      <c r="I35" s="2"/>
      <c r="J35" s="2"/>
      <c r="K35" s="2"/>
      <c r="L35" s="2"/>
      <c r="M35" s="2"/>
      <c r="N35" s="109"/>
    </row>
    <row r="36" spans="2:29" ht="12.75" customHeight="1" x14ac:dyDescent="0.4">
      <c r="B36" s="277" t="s">
        <v>88</v>
      </c>
      <c r="C36" s="2"/>
      <c r="D36" s="2"/>
      <c r="E36" s="2"/>
      <c r="F36" s="2"/>
      <c r="G36" s="2"/>
      <c r="H36" s="2"/>
      <c r="I36" s="2"/>
      <c r="J36" s="2"/>
      <c r="K36" s="2"/>
      <c r="L36" s="2"/>
      <c r="M36" s="2"/>
      <c r="N36" s="110"/>
    </row>
    <row r="37" spans="2:29" ht="12.75" customHeight="1" x14ac:dyDescent="0.4">
      <c r="B37" s="277" t="s">
        <v>89</v>
      </c>
      <c r="C37" s="10"/>
      <c r="D37" s="10"/>
      <c r="E37" s="10"/>
      <c r="F37" s="10"/>
      <c r="G37" s="10"/>
      <c r="H37" s="10"/>
      <c r="I37" s="10"/>
      <c r="J37" s="10"/>
      <c r="K37" s="10"/>
      <c r="L37" s="10"/>
      <c r="M37" s="10"/>
      <c r="N37" s="99"/>
    </row>
    <row r="38" spans="2:29" ht="12.75" customHeight="1" x14ac:dyDescent="0.4">
      <c r="B38" s="349" t="s">
        <v>90</v>
      </c>
      <c r="C38" s="56"/>
      <c r="D38" s="56"/>
      <c r="E38" s="56"/>
      <c r="F38" s="56"/>
      <c r="G38" s="56"/>
      <c r="H38" s="56"/>
      <c r="I38" s="56"/>
      <c r="J38" s="56"/>
      <c r="K38" s="56"/>
      <c r="L38" s="56"/>
      <c r="M38" s="56"/>
      <c r="N38" s="100"/>
    </row>
    <row r="39" spans="2:29" ht="12.75" customHeight="1" x14ac:dyDescent="0.4">
      <c r="I39" s="22"/>
      <c r="J39" s="22"/>
      <c r="K39" s="22"/>
      <c r="L39" s="22"/>
      <c r="M39" s="22"/>
      <c r="N39" s="22"/>
    </row>
    <row r="40" spans="2:29" ht="15.75" customHeight="1" x14ac:dyDescent="0.4">
      <c r="B40" s="49"/>
      <c r="C40" s="49"/>
      <c r="D40" s="49"/>
      <c r="E40" s="49"/>
      <c r="F40" s="49"/>
      <c r="G40" s="49"/>
      <c r="H40" s="49"/>
    </row>
    <row r="41" spans="2:29" x14ac:dyDescent="0.4">
      <c r="B41" s="10"/>
      <c r="C41" s="10"/>
      <c r="D41" s="10"/>
      <c r="E41" s="10"/>
      <c r="F41" s="10"/>
      <c r="G41" s="141"/>
      <c r="H41" s="10"/>
      <c r="I41" s="22"/>
      <c r="J41" s="22"/>
      <c r="K41" s="22"/>
      <c r="L41" s="22"/>
      <c r="M41" s="22"/>
      <c r="N41" s="22"/>
      <c r="O41" s="22"/>
      <c r="P41" s="22"/>
      <c r="Q41" s="22"/>
      <c r="R41" s="22"/>
      <c r="S41" s="22"/>
      <c r="V41" s="22"/>
      <c r="W41" s="22"/>
      <c r="X41" s="22"/>
      <c r="Y41" s="22"/>
      <c r="Z41" s="22"/>
      <c r="AA41" s="22"/>
      <c r="AB41" s="22"/>
      <c r="AC41" s="22"/>
    </row>
    <row r="42" spans="2:29" x14ac:dyDescent="0.4">
      <c r="B42" s="10"/>
      <c r="C42" s="10"/>
      <c r="D42" s="10"/>
      <c r="E42" s="10"/>
      <c r="F42" s="10"/>
      <c r="G42" s="10"/>
      <c r="H42" s="10"/>
      <c r="I42" s="22"/>
      <c r="J42" s="22"/>
      <c r="K42" s="22"/>
      <c r="L42" s="22"/>
      <c r="M42" s="22"/>
      <c r="N42" s="22"/>
      <c r="O42" s="22"/>
      <c r="P42" s="22"/>
      <c r="Q42" s="22"/>
      <c r="R42" s="22"/>
      <c r="S42" s="22"/>
      <c r="V42" s="22"/>
      <c r="W42" s="22"/>
      <c r="X42" s="22"/>
      <c r="Y42" s="22"/>
      <c r="Z42" s="22"/>
      <c r="AA42" s="22"/>
      <c r="AB42" s="22"/>
      <c r="AC42" s="22"/>
    </row>
    <row r="43" spans="2:29" x14ac:dyDescent="0.4">
      <c r="B43" s="10"/>
      <c r="C43" s="10"/>
      <c r="D43" s="10"/>
      <c r="E43" s="10"/>
      <c r="F43" s="10"/>
      <c r="G43" s="10"/>
      <c r="H43" s="10"/>
      <c r="I43" s="22"/>
      <c r="J43" s="22"/>
      <c r="K43" s="22"/>
      <c r="L43" s="22"/>
      <c r="M43" s="22"/>
      <c r="N43" s="22"/>
      <c r="O43" s="22"/>
      <c r="P43" s="22"/>
      <c r="Q43" s="22"/>
      <c r="R43" s="22"/>
      <c r="S43" s="22"/>
      <c r="V43" s="22"/>
      <c r="W43" s="22"/>
      <c r="X43" s="22"/>
      <c r="Y43" s="22"/>
      <c r="Z43" s="22"/>
      <c r="AA43" s="22"/>
      <c r="AB43" s="22"/>
      <c r="AC43" s="22"/>
    </row>
    <row r="44" spans="2:29" x14ac:dyDescent="0.4">
      <c r="B44" s="10"/>
      <c r="C44" s="10"/>
      <c r="D44" s="10"/>
      <c r="E44" s="10"/>
      <c r="F44" s="10"/>
      <c r="G44" s="10"/>
      <c r="H44" s="10"/>
      <c r="I44" s="22"/>
      <c r="J44" s="22"/>
      <c r="K44" s="22"/>
      <c r="L44" s="22"/>
      <c r="M44" s="22"/>
      <c r="N44" s="22"/>
      <c r="O44" s="22"/>
      <c r="P44" s="22"/>
      <c r="Q44" s="22"/>
      <c r="R44" s="22"/>
      <c r="S44" s="22"/>
      <c r="V44" s="22"/>
      <c r="W44" s="22"/>
      <c r="X44" s="22"/>
      <c r="Y44" s="22"/>
      <c r="Z44" s="22"/>
      <c r="AA44" s="22"/>
      <c r="AB44" s="22"/>
      <c r="AC44" s="22"/>
    </row>
    <row r="45" spans="2:29" x14ac:dyDescent="0.4">
      <c r="B45" s="73"/>
      <c r="C45" s="73"/>
      <c r="D45" s="73"/>
      <c r="E45" s="73"/>
      <c r="F45" s="73"/>
      <c r="G45" s="73"/>
      <c r="H45" s="10"/>
      <c r="I45" s="22"/>
      <c r="J45" s="22"/>
      <c r="K45" s="22"/>
      <c r="L45" s="22"/>
      <c r="M45" s="22"/>
      <c r="N45" s="22"/>
      <c r="O45" s="22"/>
      <c r="P45" s="22"/>
      <c r="Q45" s="22"/>
      <c r="R45" s="22"/>
      <c r="S45" s="22"/>
      <c r="V45" s="22"/>
      <c r="W45" s="22"/>
      <c r="X45" s="22"/>
      <c r="Y45" s="22"/>
      <c r="Z45" s="22"/>
      <c r="AA45" s="22"/>
      <c r="AB45" s="22"/>
      <c r="AC45" s="2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2301E-EFA8-40B8-BFAB-7197D8B16558}">
  <sheetPr>
    <tabColor theme="3"/>
  </sheetPr>
  <dimension ref="A1:P38"/>
  <sheetViews>
    <sheetView showGridLines="0" zoomScaleNormal="100" workbookViewId="0"/>
  </sheetViews>
  <sheetFormatPr defaultColWidth="15.265625" defaultRowHeight="12.9" x14ac:dyDescent="0.35"/>
  <cols>
    <col min="1" max="1" width="2.1328125" style="2" customWidth="1"/>
    <col min="2" max="2" width="10.59765625" style="2" customWidth="1"/>
    <col min="3" max="3" width="25.73046875" style="2" customWidth="1"/>
    <col min="4" max="4" width="14.59765625" style="2" bestFit="1" customWidth="1"/>
    <col min="5" max="7" width="15.73046875" style="2" customWidth="1"/>
    <col min="8" max="11" width="15.73046875" style="1" customWidth="1"/>
    <col min="12" max="12" width="1.46484375" style="1" customWidth="1"/>
    <col min="13" max="15" width="15.265625" style="1"/>
    <col min="16" max="16384" width="15.265625" style="2"/>
  </cols>
  <sheetData>
    <row r="1" spans="1:16" ht="18.45" x14ac:dyDescent="0.5">
      <c r="A1" s="246"/>
      <c r="B1" s="246" t="s">
        <v>91</v>
      </c>
      <c r="C1" s="246"/>
      <c r="D1" s="246"/>
      <c r="E1" s="246"/>
      <c r="F1" s="246"/>
      <c r="G1" s="246"/>
      <c r="H1" s="246"/>
      <c r="I1" s="246"/>
      <c r="J1" s="246"/>
      <c r="K1" s="246"/>
      <c r="L1" s="246"/>
    </row>
    <row r="2" spans="1:16" ht="29.25" customHeight="1" x14ac:dyDescent="0.4">
      <c r="C2" s="116"/>
      <c r="D2" s="69"/>
      <c r="E2" s="4"/>
      <c r="F2" s="4"/>
      <c r="G2" s="4"/>
      <c r="H2" s="147"/>
    </row>
    <row r="3" spans="1:16" ht="14.6" x14ac:dyDescent="0.4">
      <c r="B3" s="96" t="s">
        <v>25</v>
      </c>
      <c r="C3" s="97"/>
      <c r="D3" s="97"/>
      <c r="E3" s="97"/>
      <c r="F3" s="97"/>
      <c r="G3" s="97"/>
      <c r="H3" s="97"/>
      <c r="I3" s="97"/>
      <c r="J3" s="98"/>
      <c r="K3" s="325"/>
    </row>
    <row r="4" spans="1:16" ht="14.6" x14ac:dyDescent="0.4">
      <c r="B4" s="68" t="s">
        <v>215</v>
      </c>
      <c r="C4" s="10"/>
      <c r="D4" s="5"/>
      <c r="E4" s="5"/>
      <c r="F4" s="5"/>
      <c r="G4" s="5"/>
      <c r="H4" s="5"/>
      <c r="I4" s="5"/>
      <c r="K4" s="109"/>
    </row>
    <row r="5" spans="1:16" ht="14.6" x14ac:dyDescent="0.4">
      <c r="B5" s="68" t="s">
        <v>216</v>
      </c>
      <c r="C5" s="10"/>
      <c r="D5" s="5"/>
      <c r="E5" s="5"/>
      <c r="F5" s="5"/>
      <c r="G5" s="5"/>
      <c r="H5" s="5"/>
      <c r="I5" s="5"/>
      <c r="K5" s="110"/>
    </row>
    <row r="6" spans="1:16" ht="14.6" x14ac:dyDescent="0.4">
      <c r="B6" s="379" t="s">
        <v>92</v>
      </c>
      <c r="C6" s="5"/>
      <c r="D6" s="5"/>
      <c r="E6" s="5"/>
      <c r="F6" s="5"/>
      <c r="G6" s="5"/>
      <c r="H6" s="5"/>
      <c r="I6" s="5"/>
      <c r="K6" s="110"/>
      <c r="P6" s="1"/>
    </row>
    <row r="7" spans="1:16" ht="14.6" x14ac:dyDescent="0.4">
      <c r="B7" s="379" t="s">
        <v>93</v>
      </c>
      <c r="C7" s="5"/>
      <c r="D7" s="5"/>
      <c r="E7" s="5"/>
      <c r="F7" s="5"/>
      <c r="G7" s="5"/>
      <c r="H7" s="5"/>
      <c r="I7" s="5"/>
      <c r="K7" s="110"/>
      <c r="P7" s="1"/>
    </row>
    <row r="8" spans="1:16" ht="14.6" x14ac:dyDescent="0.4">
      <c r="B8" s="306" t="s">
        <v>217</v>
      </c>
      <c r="C8" s="312"/>
      <c r="D8" s="312"/>
      <c r="E8" s="312"/>
      <c r="F8" s="312"/>
      <c r="G8" s="312"/>
      <c r="H8" s="312"/>
      <c r="I8" s="312"/>
      <c r="J8" s="437"/>
      <c r="K8" s="313"/>
      <c r="P8" s="1"/>
    </row>
    <row r="9" spans="1:16" s="39" customFormat="1" ht="29.25" customHeight="1" x14ac:dyDescent="0.45"/>
    <row r="10" spans="1:16" s="39" customFormat="1" ht="15" customHeight="1" x14ac:dyDescent="0.45">
      <c r="B10" s="92" t="s">
        <v>94</v>
      </c>
      <c r="C10" s="93"/>
      <c r="D10" s="93"/>
      <c r="E10" s="310"/>
      <c r="F10" s="310"/>
      <c r="G10" s="310"/>
      <c r="H10" s="48"/>
      <c r="I10" s="1"/>
      <c r="J10" s="1"/>
      <c r="K10" s="1"/>
      <c r="L10" s="1"/>
    </row>
    <row r="11" spans="1:16" s="39" customFormat="1" ht="15" customHeight="1" x14ac:dyDescent="0.45">
      <c r="B11" s="307" t="s">
        <v>95</v>
      </c>
      <c r="C11" s="308" t="s">
        <v>96</v>
      </c>
      <c r="D11" s="308" t="s">
        <v>97</v>
      </c>
      <c r="E11" s="308" t="s">
        <v>98</v>
      </c>
      <c r="F11" s="308" t="s">
        <v>99</v>
      </c>
      <c r="G11" s="309" t="s">
        <v>100</v>
      </c>
      <c r="H11" s="48"/>
      <c r="I11" s="1"/>
      <c r="J11" s="1"/>
      <c r="K11" s="1"/>
      <c r="L11" s="1"/>
    </row>
    <row r="12" spans="1:16" s="45" customFormat="1" ht="15" customHeight="1" x14ac:dyDescent="0.45">
      <c r="B12" s="272" t="s">
        <v>101</v>
      </c>
      <c r="C12" s="273">
        <v>0.08</v>
      </c>
      <c r="D12" s="273">
        <v>0.2</v>
      </c>
      <c r="E12" s="284">
        <v>4000000</v>
      </c>
      <c r="F12" s="285" t="s">
        <v>175</v>
      </c>
      <c r="G12" s="281">
        <v>365</v>
      </c>
      <c r="I12" s="39"/>
      <c r="J12" s="39"/>
      <c r="K12" s="39"/>
      <c r="L12" s="39"/>
    </row>
    <row r="13" spans="1:16" s="39" customFormat="1" ht="15" customHeight="1" x14ac:dyDescent="0.45">
      <c r="A13" s="48"/>
      <c r="B13" s="274" t="s">
        <v>102</v>
      </c>
      <c r="C13" s="275">
        <v>0.08</v>
      </c>
      <c r="D13" s="275">
        <v>0.2</v>
      </c>
      <c r="E13" s="284">
        <v>10000000</v>
      </c>
      <c r="F13" s="283" t="s">
        <v>190</v>
      </c>
      <c r="G13" s="282">
        <v>365</v>
      </c>
    </row>
    <row r="14" spans="1:16" s="39" customFormat="1" ht="15" customHeight="1" x14ac:dyDescent="0.45">
      <c r="A14" s="48"/>
    </row>
    <row r="15" spans="1:16" s="39" customFormat="1" ht="15" customHeight="1" x14ac:dyDescent="0.45">
      <c r="A15" s="48"/>
      <c r="B15" s="92" t="s">
        <v>103</v>
      </c>
      <c r="C15" s="92"/>
      <c r="D15" s="93"/>
      <c r="E15" s="105"/>
      <c r="F15" s="105"/>
      <c r="G15" s="105"/>
      <c r="H15" s="105"/>
      <c r="I15" s="106"/>
      <c r="J15" s="106"/>
      <c r="K15" s="336"/>
      <c r="L15" s="9"/>
    </row>
    <row r="16" spans="1:16" s="39" customFormat="1" ht="30" customHeight="1" x14ac:dyDescent="0.45">
      <c r="A16" s="48"/>
      <c r="B16" s="175" t="s">
        <v>104</v>
      </c>
      <c r="C16" s="62" t="s">
        <v>105</v>
      </c>
      <c r="D16" s="62" t="s">
        <v>106</v>
      </c>
      <c r="E16" s="52" t="s">
        <v>107</v>
      </c>
      <c r="F16" s="52" t="s">
        <v>108</v>
      </c>
      <c r="G16" s="52" t="s">
        <v>109</v>
      </c>
      <c r="H16" s="52" t="s">
        <v>97</v>
      </c>
      <c r="I16" s="52" t="s">
        <v>98</v>
      </c>
      <c r="J16" s="52" t="s">
        <v>99</v>
      </c>
      <c r="K16" s="65" t="s">
        <v>110</v>
      </c>
      <c r="L16" s="30"/>
    </row>
    <row r="17" spans="1:15" s="39" customFormat="1" ht="15" customHeight="1" x14ac:dyDescent="0.45">
      <c r="A17" s="48"/>
      <c r="B17" s="303">
        <v>1</v>
      </c>
      <c r="C17" s="117" t="s">
        <v>53</v>
      </c>
      <c r="D17" s="117" t="s">
        <v>101</v>
      </c>
      <c r="E17" s="53">
        <v>250000</v>
      </c>
      <c r="F17" s="40">
        <v>43466</v>
      </c>
      <c r="G17" s="265">
        <f>+IFERROR(VLOOKUP($D17,$B$12:$G$13,COLUMN($C$11)-1,FALSE), "N/A")</f>
        <v>0.08</v>
      </c>
      <c r="H17" s="265">
        <f>+IFERROR(VLOOKUP($D17,$B$12:$G$13,COLUMN($D$11)-1,FALSE), "N/A")</f>
        <v>0.2</v>
      </c>
      <c r="I17" s="251">
        <f>+IFERROR(VLOOKUP($D17,$B$12:$G$13,COLUMN($E$11)-1,FALSE), "N/A")</f>
        <v>4000000</v>
      </c>
      <c r="J17" s="326" t="str">
        <f>+IFERROR(VLOOKUP($D17,$B$12:$G$13,COLUMN($F$11)-1,FALSE), "N/A")</f>
        <v>Post-Money</v>
      </c>
      <c r="K17" s="337">
        <f>+IFERROR(VLOOKUP($D17,$B$12:$G$13,COLUMN($G$11)-1,FALSE), "N/A")</f>
        <v>365</v>
      </c>
      <c r="L17" s="30"/>
      <c r="M17" s="48"/>
      <c r="N17" s="48"/>
      <c r="O17" s="48"/>
    </row>
    <row r="18" spans="1:15" s="39" customFormat="1" ht="15" customHeight="1" x14ac:dyDescent="0.45">
      <c r="B18" s="303">
        <v>2</v>
      </c>
      <c r="C18" s="117" t="s">
        <v>55</v>
      </c>
      <c r="D18" s="117" t="s">
        <v>101</v>
      </c>
      <c r="E18" s="53">
        <v>250000</v>
      </c>
      <c r="F18" s="40">
        <v>43466</v>
      </c>
      <c r="G18" s="265">
        <f>+IFERROR(VLOOKUP($D18,$B$12:$G$13,COLUMN($C$11)-1,FALSE), "N/A")</f>
        <v>0.08</v>
      </c>
      <c r="H18" s="265">
        <f>+IFERROR(VLOOKUP($D18,$B$12:$G$13,COLUMN($D$11)-1,FALSE), "N/A")</f>
        <v>0.2</v>
      </c>
      <c r="I18" s="251">
        <f>+IFERROR(VLOOKUP($D18,$B$12:$G$13,COLUMN($E$11)-1,FALSE), "N/A")</f>
        <v>4000000</v>
      </c>
      <c r="J18" s="326" t="str">
        <f>+IFERROR(VLOOKUP($D18,$B$12:$G$13,COLUMN($F$11)-1,FALSE), "N/A")</f>
        <v>Post-Money</v>
      </c>
      <c r="K18" s="337">
        <f>+IFERROR(VLOOKUP($D18,$B$12:$G$13,COLUMN($G$11)-1,FALSE), "N/A")</f>
        <v>365</v>
      </c>
      <c r="L18" s="30"/>
      <c r="M18" s="48"/>
      <c r="N18" s="48"/>
      <c r="O18" s="48"/>
    </row>
    <row r="19" spans="1:15" s="39" customFormat="1" ht="15" customHeight="1" x14ac:dyDescent="0.45">
      <c r="B19" s="304">
        <v>3</v>
      </c>
      <c r="C19" s="242" t="s">
        <v>56</v>
      </c>
      <c r="D19" s="242" t="s">
        <v>101</v>
      </c>
      <c r="E19" s="250">
        <v>100000</v>
      </c>
      <c r="F19" s="263">
        <v>43466</v>
      </c>
      <c r="G19" s="266">
        <f>+IFERROR(VLOOKUP($D19,$B$12:$G$13,COLUMN($C$11)-1,FALSE), "N/A")</f>
        <v>0.08</v>
      </c>
      <c r="H19" s="266">
        <f>+IFERROR(VLOOKUP($D19,$B$12:$G$13,COLUMN($D$11)-1,FALSE), "N/A")</f>
        <v>0.2</v>
      </c>
      <c r="I19" s="252">
        <f>+IFERROR(VLOOKUP($D19,$B$12:$G$13,COLUMN($E$11)-1,FALSE), "N/A")</f>
        <v>4000000</v>
      </c>
      <c r="J19" s="327" t="str">
        <f>+IFERROR(VLOOKUP($D19,$B$12:$G$13,COLUMN($F$11)-1,FALSE), "N/A")</f>
        <v>Post-Money</v>
      </c>
      <c r="K19" s="338">
        <f>+IFERROR(VLOOKUP($D19,$B$12:$G$13,COLUMN($G$11)-1,FALSE), "N/A")</f>
        <v>365</v>
      </c>
      <c r="L19" s="30"/>
      <c r="M19" s="48"/>
      <c r="N19" s="48"/>
      <c r="O19" s="48"/>
    </row>
    <row r="20" spans="1:15" s="39" customFormat="1" ht="15" customHeight="1" x14ac:dyDescent="0.45">
      <c r="B20" s="303">
        <v>4</v>
      </c>
      <c r="C20" s="117" t="s">
        <v>53</v>
      </c>
      <c r="D20" s="117" t="s">
        <v>102</v>
      </c>
      <c r="E20" s="53">
        <v>50000</v>
      </c>
      <c r="F20" s="40">
        <v>43831</v>
      </c>
      <c r="G20" s="265">
        <f>+IFERROR(VLOOKUP($D20,$B$12:$G$13,COLUMN($C$11)-1,FALSE), "N/A")</f>
        <v>0.08</v>
      </c>
      <c r="H20" s="265">
        <f>+IFERROR(VLOOKUP($D20,$B$12:$G$13,COLUMN($D$11)-1,FALSE), "N/A")</f>
        <v>0.2</v>
      </c>
      <c r="I20" s="251">
        <f>+IFERROR(VLOOKUP($D20,$B$12:$G$13,COLUMN($E$11)-1,FALSE), "N/A")</f>
        <v>10000000</v>
      </c>
      <c r="J20" s="326" t="str">
        <f>+IFERROR(VLOOKUP($D20,$B$12:$G$13,COLUMN($F$11)-1,FALSE), "N/A")</f>
        <v>Pre-Money</v>
      </c>
      <c r="K20" s="337">
        <f>+IFERROR(VLOOKUP($D20,$B$12:$G$13,COLUMN($G$11)-1,FALSE), "N/A")</f>
        <v>365</v>
      </c>
      <c r="L20" s="30"/>
      <c r="M20" s="48"/>
      <c r="N20" s="48"/>
      <c r="O20" s="48"/>
    </row>
    <row r="21" spans="1:15" s="39" customFormat="1" ht="15" customHeight="1" x14ac:dyDescent="0.45">
      <c r="B21" s="303">
        <v>5</v>
      </c>
      <c r="C21" s="117" t="s">
        <v>57</v>
      </c>
      <c r="D21" s="117" t="s">
        <v>102</v>
      </c>
      <c r="E21" s="53">
        <v>25000</v>
      </c>
      <c r="F21" s="40">
        <v>43831</v>
      </c>
      <c r="G21" s="265">
        <f>+IFERROR(VLOOKUP($D21,$B$12:$G$13,COLUMN($C$11)-1,FALSE), "N/A")</f>
        <v>0.08</v>
      </c>
      <c r="H21" s="265">
        <f>+IFERROR(VLOOKUP($D21,$B$12:$G$13,COLUMN($D$11)-1,FALSE), "N/A")</f>
        <v>0.2</v>
      </c>
      <c r="I21" s="251">
        <f>+IFERROR(VLOOKUP($D21,$B$12:$G$13,COLUMN($E$11)-1,FALSE), "N/A")</f>
        <v>10000000</v>
      </c>
      <c r="J21" s="326" t="str">
        <f>+IFERROR(VLOOKUP($D21,$B$12:$G$13,COLUMN($F$11)-1,FALSE), "N/A")</f>
        <v>Pre-Money</v>
      </c>
      <c r="K21" s="337">
        <f>+IFERROR(VLOOKUP($D21,$B$12:$G$13,COLUMN($G$11)-1,FALSE), "N/A")</f>
        <v>365</v>
      </c>
      <c r="L21" s="30"/>
      <c r="M21" s="48"/>
      <c r="N21" s="48"/>
      <c r="O21" s="48"/>
    </row>
    <row r="22" spans="1:15" s="39" customFormat="1" ht="15" customHeight="1" x14ac:dyDescent="0.45">
      <c r="B22" s="219" t="s">
        <v>59</v>
      </c>
      <c r="C22" s="220"/>
      <c r="D22" s="220"/>
      <c r="E22" s="227">
        <f>SUM(E17:E21)</f>
        <v>675000</v>
      </c>
      <c r="F22" s="227"/>
      <c r="G22" s="227"/>
      <c r="H22" s="225"/>
      <c r="I22" s="228"/>
      <c r="J22" s="228"/>
      <c r="K22" s="226"/>
      <c r="L22" s="30"/>
      <c r="M22" s="48"/>
      <c r="N22" s="48"/>
      <c r="O22" s="48"/>
    </row>
    <row r="23" spans="1:15" s="39" customFormat="1" ht="15" customHeight="1" x14ac:dyDescent="0.45">
      <c r="C23" s="46"/>
      <c r="D23" s="46"/>
      <c r="E23" s="54"/>
      <c r="F23" s="54"/>
      <c r="G23" s="54"/>
      <c r="H23" s="41"/>
      <c r="I23" s="55"/>
      <c r="J23" s="55"/>
      <c r="K23" s="55"/>
      <c r="L23" s="31"/>
      <c r="M23" s="48"/>
      <c r="N23" s="48"/>
      <c r="O23" s="48"/>
    </row>
    <row r="24" spans="1:15" s="39" customFormat="1" ht="15" customHeight="1" x14ac:dyDescent="0.45">
      <c r="C24" s="50"/>
      <c r="D24" s="50"/>
      <c r="E24" s="50"/>
      <c r="F24" s="50"/>
      <c r="G24" s="50"/>
      <c r="H24" s="48"/>
      <c r="I24" s="48"/>
      <c r="J24" s="48"/>
      <c r="K24" s="48"/>
      <c r="L24" s="48"/>
      <c r="M24" s="48"/>
      <c r="N24" s="48"/>
      <c r="O24" s="48"/>
    </row>
    <row r="25" spans="1:15" ht="15" customHeight="1" x14ac:dyDescent="0.45">
      <c r="B25" s="39"/>
      <c r="H25" s="2"/>
      <c r="I25" s="2"/>
      <c r="J25" s="2"/>
      <c r="K25" s="2"/>
      <c r="L25" s="39"/>
    </row>
    <row r="26" spans="1:15" ht="12.75" customHeight="1" x14ac:dyDescent="0.45">
      <c r="B26" s="39"/>
      <c r="H26" s="2"/>
      <c r="I26" s="2"/>
      <c r="J26" s="2"/>
      <c r="K26" s="2"/>
      <c r="L26" s="39"/>
    </row>
    <row r="27" spans="1:15" ht="12.75" customHeight="1" x14ac:dyDescent="0.45">
      <c r="B27" s="39"/>
      <c r="H27" s="2"/>
      <c r="I27" s="2"/>
      <c r="J27" s="2"/>
      <c r="K27" s="2"/>
      <c r="L27" s="39"/>
    </row>
    <row r="28" spans="1:15" ht="12.75" customHeight="1" x14ac:dyDescent="0.45">
      <c r="B28" s="39"/>
      <c r="H28" s="2"/>
      <c r="I28" s="2"/>
      <c r="J28" s="2"/>
      <c r="K28" s="2"/>
      <c r="L28" s="39"/>
    </row>
    <row r="29" spans="1:15" ht="12.75" customHeight="1" x14ac:dyDescent="0.35">
      <c r="H29" s="2"/>
      <c r="I29" s="2"/>
      <c r="J29" s="2"/>
      <c r="K29" s="2"/>
    </row>
    <row r="30" spans="1:15" ht="12.75" customHeight="1" x14ac:dyDescent="0.45">
      <c r="C30" s="50"/>
      <c r="D30" s="50"/>
      <c r="E30" s="50"/>
      <c r="F30" s="50"/>
      <c r="G30" s="50"/>
    </row>
    <row r="31" spans="1:15" ht="12.75" customHeight="1" x14ac:dyDescent="0.45">
      <c r="C31" s="50"/>
      <c r="D31" s="50"/>
      <c r="E31" s="50"/>
      <c r="F31" s="50"/>
      <c r="G31" s="50"/>
    </row>
    <row r="32" spans="1:15" ht="12.75" customHeight="1" x14ac:dyDescent="0.45">
      <c r="C32" s="50"/>
      <c r="D32" s="50"/>
      <c r="E32" s="50"/>
      <c r="F32" s="50"/>
      <c r="G32" s="50"/>
    </row>
    <row r="33" spans="3:15" ht="15.75" customHeight="1" x14ac:dyDescent="0.45">
      <c r="C33" s="50"/>
      <c r="D33" s="50"/>
      <c r="E33" s="50"/>
      <c r="F33" s="50"/>
      <c r="G33" s="50"/>
    </row>
    <row r="34" spans="3:15" ht="15.9" x14ac:dyDescent="0.45">
      <c r="C34" s="45"/>
      <c r="D34" s="45"/>
      <c r="E34" s="5"/>
      <c r="F34" s="5"/>
      <c r="G34" s="5"/>
      <c r="H34" s="2"/>
      <c r="I34" s="2"/>
      <c r="J34" s="2"/>
      <c r="K34" s="2"/>
      <c r="L34" s="2"/>
      <c r="M34" s="2"/>
      <c r="N34" s="2"/>
      <c r="O34" s="2"/>
    </row>
    <row r="35" spans="3:15" ht="15.9" x14ac:dyDescent="0.45">
      <c r="C35" s="45"/>
      <c r="D35" s="45"/>
      <c r="E35" s="5"/>
      <c r="F35" s="5"/>
      <c r="G35" s="5"/>
      <c r="H35" s="2"/>
      <c r="I35" s="2"/>
      <c r="J35" s="2"/>
      <c r="K35" s="2"/>
      <c r="L35" s="2"/>
      <c r="M35" s="2"/>
      <c r="N35" s="2"/>
      <c r="O35" s="2"/>
    </row>
    <row r="36" spans="3:15" ht="15.9" x14ac:dyDescent="0.45">
      <c r="C36" s="45"/>
      <c r="D36" s="45"/>
      <c r="E36" s="5"/>
      <c r="F36" s="5"/>
      <c r="G36" s="5"/>
      <c r="H36" s="2"/>
      <c r="I36" s="2"/>
      <c r="J36" s="2"/>
      <c r="K36" s="2"/>
      <c r="L36" s="2"/>
      <c r="M36" s="2"/>
      <c r="N36" s="2"/>
      <c r="O36" s="2"/>
    </row>
    <row r="37" spans="3:15" ht="15.9" x14ac:dyDescent="0.45">
      <c r="C37" s="45"/>
      <c r="D37" s="45"/>
      <c r="E37" s="5"/>
      <c r="F37" s="5"/>
      <c r="G37" s="5"/>
      <c r="H37" s="2"/>
      <c r="I37" s="2"/>
      <c r="J37" s="2"/>
      <c r="K37" s="2"/>
      <c r="L37" s="2"/>
      <c r="M37" s="2"/>
      <c r="N37" s="2"/>
      <c r="O37" s="2"/>
    </row>
    <row r="38" spans="3:15" ht="15.9" x14ac:dyDescent="0.45">
      <c r="C38" s="51"/>
      <c r="D38" s="51"/>
      <c r="E38" s="5"/>
      <c r="F38" s="5"/>
      <c r="G38" s="5"/>
      <c r="H38" s="2"/>
      <c r="I38" s="2"/>
      <c r="J38" s="2"/>
      <c r="K38" s="2"/>
      <c r="L38" s="2"/>
      <c r="M38" s="2"/>
      <c r="N38" s="2"/>
      <c r="O38" s="2"/>
    </row>
  </sheetData>
  <dataValidations disablePrompts="1" count="1">
    <dataValidation type="list" allowBlank="1" showInputMessage="1" showErrorMessage="1" sqref="F12:F13" xr:uid="{5DA13A40-FE5D-44BF-86F9-18C71BA795C3}">
      <formula1>"Pre-Money, Post-Money, None"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AJ91"/>
  <sheetViews>
    <sheetView showGridLines="0" zoomScale="85" zoomScaleNormal="85" workbookViewId="0"/>
  </sheetViews>
  <sheetFormatPr defaultColWidth="15.265625" defaultRowHeight="12.9" x14ac:dyDescent="0.35"/>
  <cols>
    <col min="1" max="1" width="2.1328125" style="2" customWidth="1"/>
    <col min="2" max="2" width="23.73046875" style="2" customWidth="1"/>
    <col min="3" max="3" width="20.1328125" style="2" bestFit="1" customWidth="1"/>
    <col min="4" max="6" width="14.1328125" style="2" customWidth="1"/>
    <col min="7" max="7" width="20.1328125" style="2" bestFit="1" customWidth="1"/>
    <col min="8" max="8" width="15.1328125" style="2" bestFit="1" customWidth="1"/>
    <col min="9" max="12" width="14.1328125" style="2" customWidth="1"/>
    <col min="13" max="13" width="16.265625" style="2" bestFit="1" customWidth="1"/>
    <col min="14" max="25" width="14.1328125" style="2" customWidth="1"/>
    <col min="26" max="30" width="12.73046875" style="2" customWidth="1"/>
    <col min="31" max="31" width="15.265625" style="2" customWidth="1"/>
    <col min="32" max="16384" width="15.265625" style="2"/>
  </cols>
  <sheetData>
    <row r="1" spans="1:30" ht="18.45" x14ac:dyDescent="0.5">
      <c r="A1" s="142"/>
      <c r="B1" s="125" t="s">
        <v>111</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row>
    <row r="2" spans="1:30" s="22" customFormat="1" ht="29.25" customHeight="1" x14ac:dyDescent="0.4">
      <c r="B2" s="3"/>
      <c r="C2" s="28"/>
      <c r="D2" s="9"/>
      <c r="W2" s="120"/>
      <c r="X2" s="118"/>
      <c r="Y2" s="119"/>
      <c r="Z2" s="114"/>
      <c r="AA2" s="10"/>
    </row>
    <row r="3" spans="1:30" s="22" customFormat="1" ht="15" customHeight="1" x14ac:dyDescent="0.4">
      <c r="B3" s="96" t="s">
        <v>25</v>
      </c>
      <c r="C3" s="97"/>
      <c r="D3" s="97"/>
      <c r="E3" s="97"/>
      <c r="F3" s="97"/>
      <c r="G3" s="97"/>
      <c r="H3" s="97"/>
      <c r="I3" s="97"/>
      <c r="J3" s="97"/>
      <c r="K3" s="97"/>
      <c r="L3" s="97"/>
      <c r="M3" s="97"/>
      <c r="N3" s="97"/>
      <c r="O3" s="97"/>
      <c r="P3" s="97"/>
      <c r="Q3" s="97"/>
      <c r="R3" s="98"/>
      <c r="T3" s="7"/>
      <c r="W3" s="120"/>
      <c r="X3" s="118"/>
      <c r="Y3" s="119"/>
      <c r="Z3" s="114"/>
      <c r="AA3" s="10"/>
    </row>
    <row r="4" spans="1:30" s="22" customFormat="1" ht="15" customHeight="1" x14ac:dyDescent="0.4">
      <c r="B4" s="68" t="s">
        <v>211</v>
      </c>
      <c r="C4" s="10"/>
      <c r="D4" s="10"/>
      <c r="E4" s="10"/>
      <c r="F4" s="10"/>
      <c r="G4" s="10"/>
      <c r="H4" s="10"/>
      <c r="I4" s="10"/>
      <c r="J4" s="10"/>
      <c r="K4" s="10"/>
      <c r="L4" s="10"/>
      <c r="M4" s="381"/>
      <c r="N4" s="10"/>
      <c r="O4" s="10"/>
      <c r="P4" s="10"/>
      <c r="Q4" s="10"/>
      <c r="R4" s="279"/>
      <c r="T4" s="9"/>
      <c r="W4" s="120"/>
      <c r="X4" s="118"/>
      <c r="Y4" s="119"/>
      <c r="Z4" s="114"/>
      <c r="AA4" s="10"/>
    </row>
    <row r="5" spans="1:30" s="22" customFormat="1" ht="15" customHeight="1" x14ac:dyDescent="0.4">
      <c r="B5" s="68" t="s">
        <v>212</v>
      </c>
      <c r="C5" s="10"/>
      <c r="D5" s="10"/>
      <c r="E5" s="10"/>
      <c r="F5" s="10"/>
      <c r="G5" s="10"/>
      <c r="H5" s="10"/>
      <c r="I5" s="10"/>
      <c r="J5" s="10"/>
      <c r="K5" s="10"/>
      <c r="L5" s="10"/>
      <c r="M5" s="10"/>
      <c r="N5" s="10"/>
      <c r="O5" s="10"/>
      <c r="P5" s="10"/>
      <c r="Q5" s="10"/>
      <c r="R5" s="280"/>
      <c r="T5" s="9"/>
      <c r="W5" s="120"/>
      <c r="X5" s="118"/>
      <c r="Y5" s="119"/>
      <c r="Z5" s="114"/>
      <c r="AA5" s="10"/>
    </row>
    <row r="6" spans="1:30" s="22" customFormat="1" ht="15" customHeight="1" x14ac:dyDescent="0.4">
      <c r="B6" s="68" t="s">
        <v>213</v>
      </c>
      <c r="C6" s="10"/>
      <c r="D6" s="10"/>
      <c r="E6" s="10"/>
      <c r="F6" s="10"/>
      <c r="G6" s="10"/>
      <c r="H6" s="10"/>
      <c r="I6" s="10"/>
      <c r="J6" s="10"/>
      <c r="K6" s="10"/>
      <c r="L6" s="10"/>
      <c r="M6" s="10"/>
      <c r="N6" s="10"/>
      <c r="O6" s="10"/>
      <c r="P6" s="10"/>
      <c r="Q6" s="10"/>
      <c r="R6" s="280"/>
      <c r="T6" s="9"/>
      <c r="W6" s="120"/>
      <c r="X6" s="118"/>
      <c r="Y6" s="119"/>
      <c r="Z6" s="114"/>
      <c r="AA6" s="10"/>
    </row>
    <row r="7" spans="1:30" s="22" customFormat="1" ht="15" customHeight="1" x14ac:dyDescent="0.4">
      <c r="B7" s="68" t="s">
        <v>214</v>
      </c>
      <c r="C7" s="10"/>
      <c r="D7" s="10"/>
      <c r="E7" s="10"/>
      <c r="F7" s="10"/>
      <c r="G7" s="10"/>
      <c r="H7" s="10"/>
      <c r="I7" s="10"/>
      <c r="J7" s="10"/>
      <c r="K7" s="10"/>
      <c r="L7" s="10"/>
      <c r="M7" s="10"/>
      <c r="N7" s="10"/>
      <c r="O7" s="10"/>
      <c r="P7" s="10"/>
      <c r="Q7" s="10"/>
      <c r="R7" s="280"/>
      <c r="T7" s="9"/>
      <c r="W7" s="120"/>
      <c r="X7" s="118"/>
      <c r="Y7" s="119"/>
      <c r="Z7" s="114"/>
      <c r="AA7" s="10"/>
    </row>
    <row r="8" spans="1:30" s="22" customFormat="1" ht="15" customHeight="1" x14ac:dyDescent="0.4">
      <c r="B8" s="379" t="s">
        <v>208</v>
      </c>
      <c r="C8" s="10"/>
      <c r="D8" s="10"/>
      <c r="E8" s="10"/>
      <c r="F8" s="10"/>
      <c r="G8" s="10"/>
      <c r="H8" s="10"/>
      <c r="I8" s="10"/>
      <c r="J8" s="10"/>
      <c r="K8" s="10"/>
      <c r="L8" s="10"/>
      <c r="M8" s="10"/>
      <c r="N8" s="10"/>
      <c r="O8" s="10"/>
      <c r="P8" s="10"/>
      <c r="Q8" s="10"/>
      <c r="R8" s="280"/>
      <c r="T8" s="9"/>
      <c r="W8" s="120"/>
      <c r="X8" s="118"/>
      <c r="Y8" s="119"/>
      <c r="Z8" s="114"/>
      <c r="AA8" s="10"/>
    </row>
    <row r="9" spans="1:30" s="22" customFormat="1" ht="15" customHeight="1" x14ac:dyDescent="0.4">
      <c r="B9" s="379" t="s">
        <v>207</v>
      </c>
      <c r="C9" s="10"/>
      <c r="D9" s="10"/>
      <c r="E9" s="10"/>
      <c r="F9" s="10"/>
      <c r="G9" s="10"/>
      <c r="H9" s="10"/>
      <c r="I9" s="10"/>
      <c r="J9" s="10"/>
      <c r="K9" s="10"/>
      <c r="L9" s="10"/>
      <c r="M9" s="10"/>
      <c r="N9" s="10"/>
      <c r="O9" s="10"/>
      <c r="P9" s="10"/>
      <c r="Q9" s="10"/>
      <c r="R9" s="280"/>
      <c r="T9" s="9"/>
      <c r="W9" s="120"/>
      <c r="X9" s="118"/>
      <c r="Y9" s="119"/>
      <c r="Z9" s="114"/>
      <c r="AA9" s="10"/>
    </row>
    <row r="10" spans="1:30" s="22" customFormat="1" ht="15" customHeight="1" x14ac:dyDescent="0.4">
      <c r="B10" s="379" t="s">
        <v>209</v>
      </c>
      <c r="C10" s="10"/>
      <c r="D10" s="10"/>
      <c r="E10" s="10"/>
      <c r="F10" s="10"/>
      <c r="G10" s="10"/>
      <c r="H10" s="10"/>
      <c r="I10" s="10"/>
      <c r="J10" s="10"/>
      <c r="K10" s="10"/>
      <c r="L10" s="10"/>
      <c r="M10" s="10"/>
      <c r="N10" s="10"/>
      <c r="O10" s="10"/>
      <c r="P10" s="10"/>
      <c r="Q10" s="10"/>
      <c r="R10" s="280"/>
      <c r="T10" s="9"/>
      <c r="W10" s="120"/>
      <c r="X10" s="118"/>
      <c r="Y10" s="119"/>
      <c r="Z10" s="114"/>
      <c r="AA10" s="10"/>
    </row>
    <row r="11" spans="1:30" s="22" customFormat="1" ht="15" customHeight="1" x14ac:dyDescent="0.4">
      <c r="B11" s="443" t="s">
        <v>227</v>
      </c>
      <c r="C11" s="10"/>
      <c r="D11" s="10"/>
      <c r="E11" s="10"/>
      <c r="F11" s="10"/>
      <c r="G11" s="10"/>
      <c r="H11" s="10"/>
      <c r="I11" s="10"/>
      <c r="J11" s="10"/>
      <c r="K11" s="10"/>
      <c r="L11" s="10"/>
      <c r="M11" s="10"/>
      <c r="N11" s="10"/>
      <c r="O11" s="10"/>
      <c r="P11" s="10"/>
      <c r="Q11" s="10"/>
      <c r="R11" s="280"/>
      <c r="T11" s="9"/>
      <c r="W11" s="120"/>
      <c r="X11" s="118"/>
      <c r="Y11" s="119"/>
      <c r="Z11" s="114"/>
      <c r="AA11" s="10"/>
    </row>
    <row r="12" spans="1:30" s="22" customFormat="1" ht="15" customHeight="1" x14ac:dyDescent="0.4">
      <c r="B12" s="379" t="s">
        <v>206</v>
      </c>
      <c r="C12" s="10"/>
      <c r="D12" s="10"/>
      <c r="E12" s="10"/>
      <c r="F12" s="10"/>
      <c r="G12" s="10"/>
      <c r="H12" s="10"/>
      <c r="I12" s="10"/>
      <c r="J12" s="10"/>
      <c r="K12" s="10"/>
      <c r="L12" s="10"/>
      <c r="M12" s="10"/>
      <c r="N12" s="10"/>
      <c r="O12" s="10"/>
      <c r="P12" s="10"/>
      <c r="Q12" s="10"/>
      <c r="R12" s="280"/>
      <c r="T12" s="9"/>
      <c r="W12" s="120"/>
      <c r="X12" s="118"/>
      <c r="Y12" s="119"/>
      <c r="Z12" s="114"/>
      <c r="AA12" s="10"/>
    </row>
    <row r="13" spans="1:30" s="22" customFormat="1" ht="15" customHeight="1" x14ac:dyDescent="0.4">
      <c r="B13" s="379" t="s">
        <v>226</v>
      </c>
      <c r="C13" s="10"/>
      <c r="D13" s="10"/>
      <c r="E13" s="10"/>
      <c r="F13" s="10"/>
      <c r="G13" s="10"/>
      <c r="H13" s="10"/>
      <c r="I13" s="10"/>
      <c r="J13" s="10"/>
      <c r="K13" s="10"/>
      <c r="L13" s="10"/>
      <c r="M13" s="10"/>
      <c r="N13" s="10"/>
      <c r="O13" s="10"/>
      <c r="P13" s="10"/>
      <c r="Q13" s="10"/>
      <c r="R13" s="280"/>
      <c r="T13" s="9"/>
      <c r="W13" s="120"/>
      <c r="X13" s="118"/>
      <c r="Y13" s="119"/>
      <c r="Z13" s="114"/>
      <c r="AA13" s="10"/>
    </row>
    <row r="14" spans="1:30" s="22" customFormat="1" ht="15" customHeight="1" x14ac:dyDescent="0.4">
      <c r="B14" s="380" t="s">
        <v>228</v>
      </c>
      <c r="C14" s="278"/>
      <c r="D14" s="278"/>
      <c r="E14" s="278"/>
      <c r="F14" s="278"/>
      <c r="G14" s="278"/>
      <c r="H14" s="278"/>
      <c r="I14" s="278"/>
      <c r="J14" s="278"/>
      <c r="K14" s="278"/>
      <c r="L14" s="278"/>
      <c r="M14" s="278"/>
      <c r="N14" s="278"/>
      <c r="O14" s="278"/>
      <c r="P14" s="278"/>
      <c r="Q14" s="278"/>
      <c r="R14" s="311"/>
      <c r="T14" s="9"/>
      <c r="W14" s="120"/>
      <c r="X14" s="118"/>
      <c r="Y14" s="119"/>
      <c r="Z14" s="114"/>
      <c r="AA14" s="10"/>
    </row>
    <row r="15" spans="1:30" s="10" customFormat="1" ht="29.25" customHeight="1" x14ac:dyDescent="0.4">
      <c r="A15" s="22"/>
      <c r="B15" s="436" t="s">
        <v>205</v>
      </c>
      <c r="G15" s="9"/>
      <c r="J15" s="9"/>
      <c r="P15" s="9"/>
      <c r="W15" s="288"/>
      <c r="X15" s="289"/>
      <c r="Y15" s="119"/>
      <c r="Z15" s="290"/>
    </row>
    <row r="16" spans="1:30" s="22" customFormat="1" ht="15" customHeight="1" x14ac:dyDescent="0.4">
      <c r="B16" s="96" t="s">
        <v>112</v>
      </c>
      <c r="C16" s="97"/>
      <c r="D16" s="97"/>
      <c r="E16" s="98"/>
      <c r="G16" s="115" t="s">
        <v>113</v>
      </c>
      <c r="H16" s="94" t="s">
        <v>114</v>
      </c>
      <c r="I16" s="95"/>
      <c r="J16" s="94" t="s">
        <v>115</v>
      </c>
      <c r="K16" s="95"/>
    </row>
    <row r="17" spans="2:31" s="22" customFormat="1" ht="15" customHeight="1" x14ac:dyDescent="0.4">
      <c r="B17" s="6" t="s">
        <v>116</v>
      </c>
      <c r="C17" s="7"/>
      <c r="D17" s="7"/>
      <c r="E17" s="8">
        <v>44256</v>
      </c>
      <c r="G17" s="291" t="s">
        <v>117</v>
      </c>
      <c r="H17" s="249" t="s">
        <v>118</v>
      </c>
      <c r="I17" s="287"/>
      <c r="J17" s="249" t="s">
        <v>0</v>
      </c>
      <c r="K17" s="287"/>
    </row>
    <row r="18" spans="2:31" s="22" customFormat="1" ht="15" customHeight="1" x14ac:dyDescent="0.4">
      <c r="B18" s="6" t="s">
        <v>119</v>
      </c>
      <c r="C18" s="10"/>
      <c r="D18" s="10"/>
      <c r="E18" s="11">
        <v>15000000</v>
      </c>
      <c r="G18" s="33"/>
      <c r="H18" s="34" t="s">
        <v>120</v>
      </c>
      <c r="I18" s="35" t="s">
        <v>121</v>
      </c>
      <c r="J18" s="34" t="s">
        <v>120</v>
      </c>
      <c r="K18" s="35" t="s">
        <v>121</v>
      </c>
    </row>
    <row r="19" spans="2:31" s="22" customFormat="1" ht="15" customHeight="1" x14ac:dyDescent="0.4">
      <c r="B19" s="6" t="s">
        <v>122</v>
      </c>
      <c r="C19" s="10"/>
      <c r="D19" s="10"/>
      <c r="E19" s="12">
        <v>2000000</v>
      </c>
      <c r="G19" s="13" t="s">
        <v>39</v>
      </c>
      <c r="H19" s="14">
        <f t="shared" ref="H19:H24" si="0">+SUMIF($C$59:$C$77,$G19,$F$59:$F$77)+SUMIF($C$59:$C$77,$G19,$H$59:$H$77)</f>
        <v>9400000</v>
      </c>
      <c r="I19" s="15">
        <f t="shared" ref="I19:I24" si="1">IFERROR(H19/$H$25, 0)</f>
        <v>0.734375</v>
      </c>
      <c r="J19" s="14">
        <f t="shared" ref="J19:J24" si="2">+SUMIF($C$59:$C$78,$G19,$T$59:$T$78)</f>
        <v>9400000</v>
      </c>
      <c r="K19" s="16">
        <f t="shared" ref="K19:K24" ca="1" si="3">IFERROR(J19/$J$25, 0)</f>
        <v>0.45541210289639189</v>
      </c>
    </row>
    <row r="20" spans="2:31" s="22" customFormat="1" ht="15" customHeight="1" x14ac:dyDescent="0.4">
      <c r="B20" s="6" t="s">
        <v>123</v>
      </c>
      <c r="C20" s="10"/>
      <c r="D20" s="10"/>
      <c r="E20" s="17">
        <f ca="1">+SUM(U77:U78)</f>
        <v>0.10585908987538471</v>
      </c>
      <c r="G20" s="18" t="s">
        <v>42</v>
      </c>
      <c r="H20" s="14">
        <f t="shared" si="0"/>
        <v>2205000</v>
      </c>
      <c r="I20" s="16">
        <f t="shared" si="1"/>
        <v>0.17226562500000001</v>
      </c>
      <c r="J20" s="14">
        <f t="shared" si="2"/>
        <v>2205000</v>
      </c>
      <c r="K20" s="16">
        <f t="shared" ca="1" si="3"/>
        <v>0.10682805179644086</v>
      </c>
    </row>
    <row r="21" spans="2:31" s="22" customFormat="1" ht="15" customHeight="1" x14ac:dyDescent="0.4">
      <c r="B21" s="6" t="s">
        <v>224</v>
      </c>
      <c r="C21" s="10"/>
      <c r="D21" s="10"/>
      <c r="E21" s="442" t="s">
        <v>79</v>
      </c>
      <c r="G21" s="18" t="s">
        <v>51</v>
      </c>
      <c r="H21" s="14">
        <f t="shared" si="0"/>
        <v>10000</v>
      </c>
      <c r="I21" s="16">
        <f t="shared" si="1"/>
        <v>7.8125000000000004E-4</v>
      </c>
      <c r="J21" s="14">
        <f t="shared" si="2"/>
        <v>10000</v>
      </c>
      <c r="K21" s="16">
        <f t="shared" ca="1" si="3"/>
        <v>4.8448096052807648E-4</v>
      </c>
    </row>
    <row r="22" spans="2:31" s="22" customFormat="1" ht="15" customHeight="1" x14ac:dyDescent="0.4">
      <c r="B22" s="6" t="s">
        <v>225</v>
      </c>
      <c r="C22" s="10"/>
      <c r="D22" s="10"/>
      <c r="E22" s="442" t="s">
        <v>81</v>
      </c>
      <c r="G22" s="18" t="s">
        <v>54</v>
      </c>
      <c r="H22" s="14">
        <f t="shared" si="0"/>
        <v>1000000</v>
      </c>
      <c r="I22" s="16">
        <f t="shared" si="1"/>
        <v>7.8125E-2</v>
      </c>
      <c r="J22" s="14">
        <f t="shared" ca="1" si="2"/>
        <v>3880608</v>
      </c>
      <c r="K22" s="16">
        <f t="shared" ca="1" si="3"/>
        <v>0.18800806912729379</v>
      </c>
    </row>
    <row r="23" spans="2:31" s="22" customFormat="1" ht="15" customHeight="1" x14ac:dyDescent="0.4">
      <c r="B23" s="6" t="s">
        <v>124</v>
      </c>
      <c r="C23" s="10"/>
      <c r="D23" s="10"/>
      <c r="E23" s="19">
        <f>F79+H79</f>
        <v>14800000</v>
      </c>
      <c r="G23" s="18" t="s">
        <v>126</v>
      </c>
      <c r="H23" s="14">
        <f t="shared" si="0"/>
        <v>0</v>
      </c>
      <c r="I23" s="16">
        <f t="shared" si="1"/>
        <v>0</v>
      </c>
      <c r="J23" s="14">
        <f t="shared" si="2"/>
        <v>2960038</v>
      </c>
      <c r="K23" s="16">
        <f t="shared" ca="1" si="3"/>
        <v>0.14340820534396065</v>
      </c>
    </row>
    <row r="24" spans="2:31" s="22" customFormat="1" ht="15" customHeight="1" x14ac:dyDescent="0.4">
      <c r="B24" s="6" t="s">
        <v>125</v>
      </c>
      <c r="C24" s="10"/>
      <c r="D24" s="10"/>
      <c r="E24" s="355">
        <f>ROUNDDOWN(E18/E23,4)</f>
        <v>1.0135000000000001</v>
      </c>
      <c r="G24" s="18" t="s">
        <v>186</v>
      </c>
      <c r="H24" s="183">
        <f t="shared" si="0"/>
        <v>185000</v>
      </c>
      <c r="I24" s="16">
        <f t="shared" si="1"/>
        <v>1.4453125000000001E-2</v>
      </c>
      <c r="J24" s="14">
        <f t="shared" si="2"/>
        <v>2185000</v>
      </c>
      <c r="K24" s="16">
        <f t="shared" ca="1" si="3"/>
        <v>0.10585908987538471</v>
      </c>
    </row>
    <row r="25" spans="2:31" s="22" customFormat="1" ht="15" customHeight="1" x14ac:dyDescent="0.4">
      <c r="B25" s="6"/>
      <c r="C25" s="10"/>
      <c r="D25" s="10"/>
      <c r="E25" s="247"/>
      <c r="G25" s="234" t="s">
        <v>59</v>
      </c>
      <c r="H25" s="235">
        <f>SUM(H19:H24)</f>
        <v>12800000</v>
      </c>
      <c r="I25" s="236">
        <f>SUM(I19:I24)</f>
        <v>0.99999999999999989</v>
      </c>
      <c r="J25" s="235">
        <f ca="1">SUM(J19:J24)</f>
        <v>20640646</v>
      </c>
      <c r="K25" s="218">
        <f ca="1">SUM(K19:K24)</f>
        <v>1</v>
      </c>
      <c r="AE25" s="9"/>
    </row>
    <row r="26" spans="2:31" s="22" customFormat="1" ht="15" customHeight="1" x14ac:dyDescent="0.4">
      <c r="B26" s="215"/>
      <c r="C26" s="253" t="s">
        <v>127</v>
      </c>
      <c r="D26" s="254" t="s">
        <v>128</v>
      </c>
      <c r="E26" s="255" t="s">
        <v>129</v>
      </c>
      <c r="G26" s="10"/>
      <c r="H26" s="205">
        <f>+H25-SUM(F59:F77)-H79</f>
        <v>0</v>
      </c>
      <c r="I26" s="121"/>
      <c r="J26" s="205">
        <f ca="1">+J25-T79</f>
        <v>0</v>
      </c>
      <c r="K26" s="121"/>
    </row>
    <row r="27" spans="2:31" s="22" customFormat="1" ht="15" customHeight="1" x14ac:dyDescent="0.4">
      <c r="B27" s="239" t="s">
        <v>130</v>
      </c>
      <c r="C27" s="42" t="str">
        <f t="shared" ref="C27:C32" si="4">IF(SUMIF($C$49:$C$53,$B27,$E$49:$E$53)=0,"N/A",SUMIF($C$49:$C$53,$B27,$E$49:$E$53))</f>
        <v>N/A</v>
      </c>
      <c r="D27" s="256">
        <v>2500000</v>
      </c>
      <c r="E27" s="257">
        <f t="shared" ref="E27:E32" si="5">+SUM(C27:D27)</f>
        <v>2500000</v>
      </c>
      <c r="M27" s="73"/>
      <c r="O27" s="9"/>
      <c r="P27" s="9"/>
      <c r="Q27" s="170"/>
      <c r="R27" s="9"/>
      <c r="S27" s="9"/>
      <c r="T27" s="9"/>
      <c r="U27" s="60"/>
      <c r="V27" s="139"/>
      <c r="X27" s="9"/>
      <c r="Y27" s="9"/>
    </row>
    <row r="28" spans="2:31" s="22" customFormat="1" ht="15" customHeight="1" x14ac:dyDescent="0.4">
      <c r="B28" s="240" t="s">
        <v>131</v>
      </c>
      <c r="C28" s="264" t="str">
        <f t="shared" si="4"/>
        <v>N/A</v>
      </c>
      <c r="D28" s="258">
        <v>500000</v>
      </c>
      <c r="E28" s="259">
        <f t="shared" si="5"/>
        <v>500000</v>
      </c>
      <c r="M28" s="73"/>
      <c r="O28" s="9"/>
      <c r="P28" s="286"/>
      <c r="Q28" s="170"/>
      <c r="R28" s="9"/>
      <c r="S28" s="9"/>
      <c r="T28" s="9"/>
      <c r="U28" s="60"/>
      <c r="V28" s="139"/>
      <c r="X28" s="9"/>
      <c r="Y28" s="9"/>
    </row>
    <row r="29" spans="2:31" s="22" customFormat="1" ht="15" customHeight="1" x14ac:dyDescent="0.4">
      <c r="B29" s="163" t="s">
        <v>53</v>
      </c>
      <c r="C29" s="42">
        <f t="shared" si="4"/>
        <v>300000</v>
      </c>
      <c r="D29" s="154">
        <v>0</v>
      </c>
      <c r="E29" s="66">
        <f t="shared" si="5"/>
        <v>300000</v>
      </c>
      <c r="L29" s="83"/>
      <c r="M29" s="9"/>
      <c r="N29" s="38"/>
      <c r="O29" s="153"/>
      <c r="P29" s="42"/>
      <c r="Q29" s="121"/>
      <c r="R29" s="23"/>
      <c r="S29" s="23"/>
      <c r="T29" s="91"/>
      <c r="U29" s="24"/>
      <c r="V29" s="21"/>
      <c r="X29" s="25"/>
      <c r="Y29" s="182"/>
    </row>
    <row r="30" spans="2:31" s="22" customFormat="1" ht="15" customHeight="1" x14ac:dyDescent="0.4">
      <c r="B30" s="163" t="s">
        <v>55</v>
      </c>
      <c r="C30" s="42">
        <f t="shared" si="4"/>
        <v>250000</v>
      </c>
      <c r="D30" s="154">
        <v>0</v>
      </c>
      <c r="E30" s="66">
        <f t="shared" si="5"/>
        <v>250000</v>
      </c>
      <c r="Y30" s="182"/>
    </row>
    <row r="31" spans="2:31" s="22" customFormat="1" ht="15" customHeight="1" x14ac:dyDescent="0.4">
      <c r="B31" s="163" t="s">
        <v>56</v>
      </c>
      <c r="C31" s="42">
        <f t="shared" si="4"/>
        <v>100000</v>
      </c>
      <c r="D31" s="154">
        <v>0</v>
      </c>
      <c r="E31" s="66">
        <f t="shared" si="5"/>
        <v>100000</v>
      </c>
      <c r="Y31" s="182"/>
    </row>
    <row r="32" spans="2:31" s="22" customFormat="1" ht="15" customHeight="1" x14ac:dyDescent="0.4">
      <c r="B32" s="163" t="s">
        <v>57</v>
      </c>
      <c r="C32" s="42">
        <f t="shared" si="4"/>
        <v>25000</v>
      </c>
      <c r="D32" s="154">
        <v>0</v>
      </c>
      <c r="E32" s="66">
        <f t="shared" si="5"/>
        <v>25000</v>
      </c>
      <c r="Y32" s="182"/>
    </row>
    <row r="33" spans="2:29" s="22" customFormat="1" ht="15" customHeight="1" x14ac:dyDescent="0.4">
      <c r="B33" s="159" t="s">
        <v>132</v>
      </c>
      <c r="C33" s="229">
        <f>+SUM(C27:C32)</f>
        <v>675000</v>
      </c>
      <c r="D33" s="229">
        <f>+SUM(D27:D32)</f>
        <v>3000000</v>
      </c>
      <c r="E33" s="230">
        <f>+SUM(E27:E32)</f>
        <v>3675000</v>
      </c>
      <c r="Y33" s="182"/>
    </row>
    <row r="34" spans="2:29" s="22" customFormat="1" ht="15" customHeight="1" x14ac:dyDescent="0.4">
      <c r="B34" s="297"/>
      <c r="C34" s="260">
        <f>+C33-'3. Convertible Securities'!E22</f>
        <v>0</v>
      </c>
      <c r="E34" s="298"/>
    </row>
    <row r="35" spans="2:29" s="22" customFormat="1" ht="15" customHeight="1" x14ac:dyDescent="0.4">
      <c r="B35" s="215"/>
      <c r="C35" s="253" t="s">
        <v>127</v>
      </c>
      <c r="D35" s="254" t="s">
        <v>128</v>
      </c>
      <c r="E35" s="255" t="s">
        <v>129</v>
      </c>
      <c r="P35" s="81">
        <f ca="1">+P49-P50</f>
        <v>0</v>
      </c>
      <c r="Y35" s="7"/>
      <c r="Z35" s="7"/>
      <c r="AA35" s="7"/>
      <c r="AB35" s="7"/>
      <c r="AC35" s="7"/>
    </row>
    <row r="36" spans="2:29" s="22" customFormat="1" ht="15" customHeight="1" x14ac:dyDescent="0.4">
      <c r="B36" s="6" t="str">
        <f t="shared" ref="B36:B41" si="6">+B27</f>
        <v>New Investor #1</v>
      </c>
      <c r="C36" s="204" t="str">
        <f t="shared" ref="C36:C41" si="7">IF(SUMIF($C$49:$C$53,$B36,$W$49:$W$53)=0,"N/A",SUMIF($C$49:$C$53,$B36,$W$49:$W$53))</f>
        <v>N/A</v>
      </c>
      <c r="D36" s="204">
        <f t="shared" ref="D36:D41" si="8">+D27</f>
        <v>2500000</v>
      </c>
      <c r="E36" s="66">
        <f t="shared" ref="E36:E41" si="9">+SUM(C36:D36)</f>
        <v>2500000</v>
      </c>
      <c r="Y36" s="7"/>
      <c r="Z36" s="7"/>
      <c r="AA36" s="7"/>
      <c r="AB36" s="7"/>
      <c r="AC36" s="7"/>
    </row>
    <row r="37" spans="2:29" s="22" customFormat="1" ht="15" customHeight="1" x14ac:dyDescent="0.4">
      <c r="B37" s="27" t="str">
        <f t="shared" si="6"/>
        <v>New Investor #2</v>
      </c>
      <c r="C37" s="241" t="str">
        <f t="shared" si="7"/>
        <v>N/A</v>
      </c>
      <c r="D37" s="241">
        <f t="shared" si="8"/>
        <v>500000</v>
      </c>
      <c r="E37" s="259">
        <f t="shared" si="9"/>
        <v>500000</v>
      </c>
      <c r="Y37" s="7"/>
      <c r="Z37" s="7"/>
      <c r="AA37" s="7"/>
      <c r="AB37" s="7"/>
      <c r="AC37" s="7"/>
    </row>
    <row r="38" spans="2:29" s="22" customFormat="1" ht="15" customHeight="1" x14ac:dyDescent="0.4">
      <c r="B38" s="6" t="str">
        <f t="shared" si="6"/>
        <v>Current Investor #1</v>
      </c>
      <c r="C38" s="204">
        <f t="shared" ca="1" si="7"/>
        <v>1247199.93</v>
      </c>
      <c r="D38" s="204">
        <f t="shared" si="8"/>
        <v>0</v>
      </c>
      <c r="E38" s="66">
        <f t="shared" ca="1" si="9"/>
        <v>1247199.93</v>
      </c>
      <c r="M38" s="10"/>
      <c r="N38" s="10"/>
      <c r="O38" s="10"/>
      <c r="P38" s="10"/>
      <c r="Q38" s="10"/>
      <c r="R38" s="10"/>
      <c r="S38" s="10"/>
      <c r="Y38" s="134"/>
      <c r="Z38" s="134"/>
      <c r="AA38" s="134"/>
      <c r="AB38" s="134"/>
      <c r="AC38" s="134"/>
    </row>
    <row r="39" spans="2:29" s="22" customFormat="1" ht="15" customHeight="1" x14ac:dyDescent="0.4">
      <c r="B39" s="6" t="str">
        <f t="shared" si="6"/>
        <v>Current Investor #2</v>
      </c>
      <c r="C39" s="204">
        <f t="shared" ca="1" si="7"/>
        <v>1165217.9099999999</v>
      </c>
      <c r="D39" s="204">
        <f t="shared" si="8"/>
        <v>0</v>
      </c>
      <c r="E39" s="66">
        <f t="shared" ca="1" si="9"/>
        <v>1165217.9099999999</v>
      </c>
      <c r="M39" s="10"/>
      <c r="N39" s="439"/>
      <c r="O39" s="288"/>
      <c r="P39" s="10"/>
      <c r="Q39" s="10"/>
      <c r="R39" s="10"/>
      <c r="S39" s="10"/>
      <c r="T39" s="134"/>
      <c r="U39" s="134"/>
      <c r="V39" s="134"/>
      <c r="W39" s="134"/>
      <c r="X39" s="134"/>
      <c r="Y39" s="134"/>
      <c r="Z39" s="134"/>
      <c r="AA39" s="134"/>
      <c r="AB39" s="134"/>
      <c r="AC39" s="134"/>
    </row>
    <row r="40" spans="2:29" s="22" customFormat="1" ht="15" customHeight="1" x14ac:dyDescent="0.4">
      <c r="B40" s="6" t="str">
        <f t="shared" si="6"/>
        <v>Current Investor #3</v>
      </c>
      <c r="C40" s="204">
        <f t="shared" ca="1" si="7"/>
        <v>466087.37</v>
      </c>
      <c r="D40" s="204">
        <f t="shared" si="8"/>
        <v>0</v>
      </c>
      <c r="E40" s="66">
        <f t="shared" ca="1" si="9"/>
        <v>466087.37</v>
      </c>
      <c r="M40" s="10"/>
      <c r="N40" s="10"/>
      <c r="O40" s="288"/>
      <c r="P40" s="365"/>
      <c r="Q40" s="290"/>
      <c r="R40" s="288"/>
      <c r="S40" s="134"/>
      <c r="T40" s="134"/>
      <c r="U40" s="134"/>
      <c r="V40" s="134"/>
      <c r="W40" s="134"/>
      <c r="X40" s="134"/>
      <c r="Y40" s="134"/>
      <c r="Z40" s="134"/>
      <c r="AA40" s="134"/>
      <c r="AB40" s="134"/>
      <c r="AC40" s="134"/>
    </row>
    <row r="41" spans="2:29" s="22" customFormat="1" ht="15" customHeight="1" x14ac:dyDescent="0.4">
      <c r="B41" s="6" t="str">
        <f t="shared" si="6"/>
        <v>Current Investor #4</v>
      </c>
      <c r="C41" s="204">
        <f t="shared" si="7"/>
        <v>40991.01</v>
      </c>
      <c r="D41" s="204">
        <f t="shared" si="8"/>
        <v>0</v>
      </c>
      <c r="E41" s="66">
        <f t="shared" si="9"/>
        <v>40991.01</v>
      </c>
      <c r="M41" s="10"/>
      <c r="N41" s="10"/>
      <c r="O41" s="10"/>
      <c r="P41" s="10"/>
      <c r="Q41" s="10"/>
      <c r="R41" s="137"/>
      <c r="S41" s="134"/>
      <c r="T41" s="134"/>
      <c r="U41" s="134"/>
      <c r="V41" s="134"/>
      <c r="W41" s="134"/>
      <c r="X41" s="134"/>
      <c r="Y41" s="134"/>
      <c r="Z41" s="134"/>
      <c r="AA41" s="134"/>
      <c r="AB41" s="134"/>
      <c r="AC41" s="134"/>
    </row>
    <row r="42" spans="2:29" s="22" customFormat="1" ht="15" customHeight="1" x14ac:dyDescent="0.4">
      <c r="B42" s="159" t="s">
        <v>133</v>
      </c>
      <c r="C42" s="229">
        <f ca="1">SUM(C36:C41)</f>
        <v>2919496.2199999997</v>
      </c>
      <c r="D42" s="229">
        <f>SUM(D36:D41)</f>
        <v>3000000</v>
      </c>
      <c r="E42" s="230">
        <f ca="1">SUM(E36:E41)</f>
        <v>5919496.2199999997</v>
      </c>
      <c r="M42" s="10"/>
      <c r="N42" s="10"/>
      <c r="O42" s="101"/>
      <c r="P42" s="14"/>
      <c r="Q42" s="14"/>
      <c r="R42" s="14"/>
      <c r="S42" s="369"/>
      <c r="T42" s="134"/>
      <c r="U42" s="134"/>
      <c r="V42" s="134"/>
      <c r="W42" s="134"/>
      <c r="X42" s="134"/>
      <c r="Y42" s="134"/>
      <c r="Z42" s="134"/>
      <c r="AA42" s="134"/>
      <c r="AB42" s="134"/>
      <c r="AC42" s="134"/>
    </row>
    <row r="43" spans="2:29" s="22" customFormat="1" ht="15" customHeight="1" x14ac:dyDescent="0.4">
      <c r="B43" s="185"/>
      <c r="C43" s="261">
        <f ca="1">+C42-W54</f>
        <v>0</v>
      </c>
      <c r="D43" s="261">
        <f>+D42-D33</f>
        <v>0</v>
      </c>
      <c r="E43" s="262"/>
      <c r="N43" s="10"/>
      <c r="O43" s="14"/>
      <c r="P43" s="10"/>
      <c r="Q43" s="9"/>
      <c r="R43" s="38"/>
      <c r="S43" s="25"/>
      <c r="T43" s="28"/>
      <c r="U43" s="135"/>
      <c r="V43" s="135"/>
      <c r="W43" s="136"/>
      <c r="X43" s="136"/>
      <c r="Y43" s="24"/>
      <c r="Z43" s="28"/>
      <c r="AB43" s="25"/>
      <c r="AC43" s="138"/>
    </row>
    <row r="44" spans="2:29" s="22" customFormat="1" ht="15" customHeight="1" x14ac:dyDescent="0.4">
      <c r="B44" s="161" t="s">
        <v>134</v>
      </c>
      <c r="C44" s="162"/>
      <c r="D44" s="162"/>
      <c r="E44" s="186">
        <f ca="1">+E24*T79</f>
        <v>20919294.721000001</v>
      </c>
      <c r="N44" s="440"/>
      <c r="O44" s="14"/>
      <c r="P44" s="438"/>
      <c r="Q44" s="438"/>
      <c r="R44" s="38"/>
      <c r="S44" s="25"/>
      <c r="T44" s="28"/>
      <c r="U44" s="135"/>
      <c r="V44" s="371"/>
      <c r="W44" s="136"/>
      <c r="X44" s="136"/>
      <c r="Y44" s="24"/>
      <c r="Z44" s="28"/>
      <c r="AB44" s="25"/>
      <c r="AC44" s="138"/>
    </row>
    <row r="45" spans="2:29" s="22" customFormat="1" ht="15" customHeight="1" x14ac:dyDescent="0.4">
      <c r="G45" s="276"/>
      <c r="J45" s="113"/>
      <c r="N45" s="10"/>
      <c r="O45" s="10"/>
      <c r="P45" s="10"/>
      <c r="Q45" s="9"/>
      <c r="R45" s="38"/>
      <c r="S45" s="25"/>
      <c r="T45" s="28"/>
      <c r="U45" s="135"/>
      <c r="V45" s="370"/>
      <c r="W45" s="370"/>
      <c r="X45" s="370"/>
      <c r="Y45" s="24"/>
      <c r="Z45" s="28"/>
      <c r="AB45" s="25"/>
      <c r="AC45" s="138"/>
    </row>
    <row r="46" spans="2:29" s="22" customFormat="1" ht="15" customHeight="1" x14ac:dyDescent="0.4">
      <c r="B46" s="293"/>
      <c r="C46" s="94"/>
      <c r="D46" s="94" t="s">
        <v>135</v>
      </c>
      <c r="E46" s="94"/>
      <c r="F46" s="94"/>
      <c r="G46" s="94"/>
      <c r="H46" s="94"/>
      <c r="I46" s="94"/>
      <c r="J46" s="94"/>
      <c r="K46" s="94"/>
      <c r="L46" s="94"/>
      <c r="M46" s="94"/>
      <c r="N46" s="325"/>
      <c r="O46" s="325"/>
      <c r="P46" s="325"/>
      <c r="Q46" s="325"/>
      <c r="R46" s="94"/>
      <c r="S46" s="94"/>
      <c r="T46" s="94"/>
      <c r="U46" s="94"/>
      <c r="V46" s="94"/>
      <c r="W46" s="94"/>
      <c r="X46" s="94"/>
      <c r="Y46" s="95"/>
      <c r="AB46" s="25"/>
      <c r="AC46" s="138"/>
    </row>
    <row r="47" spans="2:29" s="22" customFormat="1" ht="15" customHeight="1" x14ac:dyDescent="0.4">
      <c r="B47" s="187" t="s">
        <v>136</v>
      </c>
      <c r="C47" s="248"/>
      <c r="D47" s="299"/>
      <c r="E47" s="36"/>
      <c r="F47" s="36" t="s">
        <v>137</v>
      </c>
      <c r="G47" s="36" t="s">
        <v>138</v>
      </c>
      <c r="H47" s="36" t="s">
        <v>96</v>
      </c>
      <c r="I47" s="36" t="s">
        <v>96</v>
      </c>
      <c r="J47" s="36"/>
      <c r="K47" s="187" t="s">
        <v>139</v>
      </c>
      <c r="L47" s="36" t="s">
        <v>139</v>
      </c>
      <c r="M47" s="37" t="s">
        <v>98</v>
      </c>
      <c r="N47" s="248" t="s">
        <v>184</v>
      </c>
      <c r="O47" s="299"/>
      <c r="P47" s="248" t="s">
        <v>185</v>
      </c>
      <c r="Q47" s="299"/>
      <c r="R47" s="36" t="s">
        <v>140</v>
      </c>
      <c r="S47" s="36" t="s">
        <v>97</v>
      </c>
      <c r="T47" s="36" t="s">
        <v>98</v>
      </c>
      <c r="U47" s="37" t="s">
        <v>139</v>
      </c>
      <c r="V47" s="36"/>
      <c r="W47" s="37"/>
      <c r="X47" s="36" t="s">
        <v>141</v>
      </c>
      <c r="Y47" s="37" t="s">
        <v>142</v>
      </c>
      <c r="AB47" s="25"/>
      <c r="AC47" s="138"/>
    </row>
    <row r="48" spans="2:29" s="22" customFormat="1" ht="15" customHeight="1" x14ac:dyDescent="0.4">
      <c r="B48" s="305" t="s">
        <v>143</v>
      </c>
      <c r="C48" s="248" t="s">
        <v>105</v>
      </c>
      <c r="D48" s="299" t="s">
        <v>95</v>
      </c>
      <c r="E48" s="36" t="s">
        <v>107</v>
      </c>
      <c r="F48" s="36" t="s">
        <v>144</v>
      </c>
      <c r="G48" s="36" t="s">
        <v>145</v>
      </c>
      <c r="H48" s="36" t="s">
        <v>146</v>
      </c>
      <c r="I48" s="36" t="s">
        <v>147</v>
      </c>
      <c r="J48" s="36" t="s">
        <v>148</v>
      </c>
      <c r="K48" s="187" t="s">
        <v>97</v>
      </c>
      <c r="L48" s="36" t="s">
        <v>98</v>
      </c>
      <c r="M48" s="36" t="s">
        <v>31</v>
      </c>
      <c r="N48" s="187" t="s">
        <v>176</v>
      </c>
      <c r="O48" s="37" t="s">
        <v>177</v>
      </c>
      <c r="P48" s="36" t="s">
        <v>176</v>
      </c>
      <c r="Q48" s="37" t="s">
        <v>177</v>
      </c>
      <c r="R48" s="36" t="s">
        <v>125</v>
      </c>
      <c r="S48" s="36" t="s">
        <v>149</v>
      </c>
      <c r="T48" s="36" t="s">
        <v>149</v>
      </c>
      <c r="U48" s="37" t="s">
        <v>149</v>
      </c>
      <c r="V48" s="36" t="s">
        <v>150</v>
      </c>
      <c r="W48" s="37" t="s">
        <v>151</v>
      </c>
      <c r="X48" s="36" t="s">
        <v>152</v>
      </c>
      <c r="Y48" s="37" t="s">
        <v>153</v>
      </c>
      <c r="AB48" s="25"/>
      <c r="AC48" s="138"/>
    </row>
    <row r="49" spans="2:29" s="22" customFormat="1" ht="15" customHeight="1" x14ac:dyDescent="0.4">
      <c r="B49" s="294">
        <f>IFERROR(IF('3. Convertible Securities'!B17=0,"N/A",'3. Convertible Securities'!B17), "Not Found, Delete")</f>
        <v>1</v>
      </c>
      <c r="C49" s="9" t="str">
        <f>+IFERROR(VLOOKUP(B49,'3. Convertible Securities'!$B$17:$L$21,COLUMN('3. Convertible Securities'!$C$16)-1,FALSE), "N/A")</f>
        <v>Current Investor #1</v>
      </c>
      <c r="D49" s="300" t="str">
        <f>+IFERROR(VLOOKUP(B49,'3. Convertible Securities'!$B$17:$L$21,COLUMN('3. Convertible Securities'!$D$16)-1,FALSE), "N/A")</f>
        <v>2019 Notes</v>
      </c>
      <c r="E49" s="21">
        <f>+IFERROR(VLOOKUP(B49,'3. Convertible Securities'!$B$17:$L$21,COLUMN('3. Convertible Securities'!$E$16)-1,FALSE), "N/A")</f>
        <v>250000</v>
      </c>
      <c r="F49" s="334">
        <f>+IFERROR(IF(VLOOKUP($B49,'3. Convertible Securities'!$B$17:$K$21,COLUMN('3. Convertible Securities'!$F$16)-1,FALSE)=0,"N/A",$E$17-(VLOOKUP($B49,'3. Convertible Securities'!$B$17:$K$21,COLUMN('3. Convertible Securities'!$F$16)-1,FALSE))),"N/A")</f>
        <v>790</v>
      </c>
      <c r="G49" s="334">
        <f>IFERROR(VLOOKUP($B49,'3. Convertible Securities'!$B$17:$K$21,COLUMN('3. Convertible Securities'!$K$16)-1,FALSE), "N/A")</f>
        <v>365</v>
      </c>
      <c r="H49" s="335">
        <f>IFERROR(VLOOKUP($B49,'3. Convertible Securities'!$B$17:$K$21,COLUMN('3. Convertible Securities'!$G$16)-1,FALSE), "N/A")</f>
        <v>0.08</v>
      </c>
      <c r="I49" s="21">
        <f>IFERROR(E49*(H49*(F49/G49)), "N/A")</f>
        <v>43287.671232876717</v>
      </c>
      <c r="J49" s="21">
        <f>+SUM(E49,I49)</f>
        <v>293287.67123287672</v>
      </c>
      <c r="K49" s="340">
        <f>+IFERROR(VLOOKUP(B49,'3. Convertible Securities'!$B$16:$L$22,COLUMN('3. Convertible Securities'!$H$16)-1,FALSE), "N/A")</f>
        <v>0.2</v>
      </c>
      <c r="L49" s="21">
        <f>+IFERROR(VLOOKUP(B49,'3. Convertible Securities'!$B$16:$L$22,COLUMN('3. Convertible Securities'!$I$16)-1,FALSE), "N/A")</f>
        <v>4000000</v>
      </c>
      <c r="M49" s="374" t="str">
        <f>+IFERROR(VLOOKUP(B49,'3. Convertible Securities'!$B$16:$L$22,COLUMN('3. Convertible Securities'!$J$16)-1,FALSE), "N/A")</f>
        <v>Post-Money</v>
      </c>
      <c r="N49" s="441">
        <f>+IF($E$21="Yes",SUM($F$79,$H$79),SUM($F$59:$F$76,$F$77,$H$79))</f>
        <v>14800000</v>
      </c>
      <c r="O49" s="343">
        <f>+IFERROR(L49/N49, "N/A")</f>
        <v>0.27027027027027029</v>
      </c>
      <c r="P49" s="376">
        <f ca="1">+IF($E$22="Yes",SUM($F$79,$H$79,$N$79,$Q$79),SUM($F$59:$F$76,$F$77,$H$79,$N$79,$Q$79))</f>
        <v>15680608</v>
      </c>
      <c r="Q49" s="367">
        <f ca="1">+IFERROR(L49/P49, "N/A")</f>
        <v>0.25509214948808107</v>
      </c>
      <c r="R49" s="343">
        <f>IF(D49="N/A","N/A",'4. Pro Forma Cap Table'!$E$24)</f>
        <v>1.0135000000000001</v>
      </c>
      <c r="S49" s="343">
        <f>+IFERROR(ROUND((1-K49)*R49,4), "N/A")</f>
        <v>0.81079999999999997</v>
      </c>
      <c r="T49" s="344">
        <f ca="1">+IFERROR(ROUND(IF(L49=0,"N/A",IFERROR(IF(M49="Pre-Money",O49,IF(M49="Post-Money",Q49,IF(M49="None","N/A","N/A"))),"N/A")),4), "N/A")</f>
        <v>0.25509999999999999</v>
      </c>
      <c r="U49" s="345">
        <f ca="1">+IF(D49="N/A", "N/A",MIN(S49:T49))</f>
        <v>0.25509999999999999</v>
      </c>
      <c r="V49" s="24">
        <f ca="1">+IFERROR(ROUND(J49/U49, 0), "N/A")</f>
        <v>1149697</v>
      </c>
      <c r="W49" s="382">
        <f ca="1">+IFERROR(ROUNDUP(IFERROR(V49*R49, "N/A"),2), "N/A")</f>
        <v>1165217.9099999999</v>
      </c>
      <c r="X49" s="25">
        <f ca="1">+IFERROR(IF(MAX(-(T49-R49)/R49,-(S49-R49)/R49,0)=1,"n/a",MAX(-(T49-R49)/R49,-(S49-R49)/R49,0)),"N/A")</f>
        <v>0.74829797730636416</v>
      </c>
      <c r="Y49" s="26">
        <f ca="1">IFERROR(W49/(VLOOKUP(B49,'3. Convertible Securities'!$B$16:$L$22,COLUMN('3. Convertible Securities'!$E$16)-1,FALSE)),"n/a")</f>
        <v>4.6608716399999999</v>
      </c>
      <c r="AB49" s="182"/>
      <c r="AC49" s="138"/>
    </row>
    <row r="50" spans="2:29" s="22" customFormat="1" ht="15" customHeight="1" x14ac:dyDescent="0.4">
      <c r="B50" s="294">
        <f>IFERROR(IF('3. Convertible Securities'!B18=0,"N/A",'3. Convertible Securities'!B18), "Not Found, Delete")</f>
        <v>2</v>
      </c>
      <c r="C50" s="9" t="str">
        <f>+IFERROR(VLOOKUP(B50,'3. Convertible Securities'!$B$17:$L$21,COLUMN('3. Convertible Securities'!$C$16)-1,FALSE), "N/A")</f>
        <v>Current Investor #2</v>
      </c>
      <c r="D50" s="300" t="str">
        <f>+IFERROR(VLOOKUP(B50,'3. Convertible Securities'!$B$17:$L$21,COLUMN('3. Convertible Securities'!$D$16)-1,FALSE), "N/A")</f>
        <v>2019 Notes</v>
      </c>
      <c r="E50" s="21">
        <f>+IFERROR(VLOOKUP(B50,'3. Convertible Securities'!$B$17:$L$21,COLUMN('3. Convertible Securities'!$E$16)-1,FALSE), "N/A")</f>
        <v>250000</v>
      </c>
      <c r="F50" s="328">
        <f>+IFERROR(IF(VLOOKUP($B50,'3. Convertible Securities'!$B$17:$K$21,COLUMN('3. Convertible Securities'!$F$16)-1,FALSE)=0,"N/A",$E$17-(VLOOKUP($B50,'3. Convertible Securities'!$B$17:$K$21,COLUMN('3. Convertible Securities'!$F$16)-1,FALSE))),"N/A")</f>
        <v>790</v>
      </c>
      <c r="G50" s="328">
        <f>IFERROR(VLOOKUP($B50,'3. Convertible Securities'!$B$17:$K$21,COLUMN('3. Convertible Securities'!$K$16)-1,FALSE), "N/A")</f>
        <v>365</v>
      </c>
      <c r="H50" s="332">
        <f>IFERROR(VLOOKUP($B50,'3. Convertible Securities'!$B$17:$K$21,COLUMN('3. Convertible Securities'!$G$16)-1,FALSE), "N/A")</f>
        <v>0.08</v>
      </c>
      <c r="I50" s="21">
        <f t="shared" ref="I50:I53" si="10">IFERROR(E50*(H50*(F50/G50)), "N/A")</f>
        <v>43287.671232876717</v>
      </c>
      <c r="J50" s="21">
        <f t="shared" ref="J50:J53" si="11">+SUM(E50,I50)</f>
        <v>293287.67123287672</v>
      </c>
      <c r="K50" s="340">
        <f>+IFERROR(VLOOKUP(B50,'3. Convertible Securities'!$B$16:$L$22,COLUMN('3. Convertible Securities'!$H$16)-1,FALSE), "N/A")</f>
        <v>0.2</v>
      </c>
      <c r="L50" s="21">
        <f>+IFERROR(VLOOKUP(B50,'3. Convertible Securities'!$B$16:$L$22,COLUMN('3. Convertible Securities'!$I$16)-1,FALSE), "N/A")</f>
        <v>4000000</v>
      </c>
      <c r="M50" s="374" t="str">
        <f>+IFERROR(VLOOKUP(B50,'3. Convertible Securities'!$B$16:$L$22,COLUMN('3. Convertible Securities'!$J$16)-1,FALSE), "N/A")</f>
        <v>Post-Money</v>
      </c>
      <c r="N50" s="362">
        <f>+IF($E$21="Yes",SUM($F$79,$H$79),SUM($F$59:$F$76,$F$77,$H$79))</f>
        <v>14800000</v>
      </c>
      <c r="O50" s="343">
        <f t="shared" ref="O50:O53" si="12">+IFERROR(L50/N50, "N/A")</f>
        <v>0.27027027027027029</v>
      </c>
      <c r="P50" s="376">
        <f ca="1">+IF($E$22="Yes",SUM($F$79,$H$79,$N$79,$Q$79),SUM($F$59:$F$76,$F$77,$H$79,$N$79,$Q$79))</f>
        <v>15680608</v>
      </c>
      <c r="Q50" s="367">
        <f t="shared" ref="Q50:Q53" ca="1" si="13">+IFERROR(L50/P50, "N/A")</f>
        <v>0.25509214948808107</v>
      </c>
      <c r="R50" s="343">
        <f>IF(D50="N/A","N/A",'4. Pro Forma Cap Table'!$E$24)</f>
        <v>1.0135000000000001</v>
      </c>
      <c r="S50" s="343">
        <f>+IFERROR(ROUND((1-K50)*R50,4), "N/A")</f>
        <v>0.81079999999999997</v>
      </c>
      <c r="T50" s="344">
        <f ca="1">+IFERROR(ROUND(IF(L50=0,"N/A",IFERROR(IF(M50="Pre-Money",O50,IF(M50="Post-Money",Q50,IF(M50="None","N/A","N/A"))),"N/A")),4), "N/A")</f>
        <v>0.25509999999999999</v>
      </c>
      <c r="U50" s="345">
        <f ca="1">+IF(D50="N/A", "N/A",MIN(S50:T50))</f>
        <v>0.25509999999999999</v>
      </c>
      <c r="V50" s="24">
        <f t="shared" ref="V50:V53" ca="1" si="14">+IFERROR(ROUND(J50/U50, 0), "N/A")</f>
        <v>1149697</v>
      </c>
      <c r="W50" s="382">
        <f t="shared" ref="W50:W53" ca="1" si="15">+IFERROR(ROUNDUP(IFERROR(V50*R50, "N/A"),2), "N/A")</f>
        <v>1165217.9099999999</v>
      </c>
      <c r="X50" s="25">
        <f ca="1">+IFERROR(IF(MAX(-(T50-R50)/R50,-(S50-R50)/R50,0)=1,"n/a",MAX(-(T50-R50)/R50,-(S50-R50)/R50,0)),"N/A")</f>
        <v>0.74829797730636416</v>
      </c>
      <c r="Y50" s="26">
        <f ca="1">IFERROR(W50/(VLOOKUP(B50,'3. Convertible Securities'!$B$16:$L$22,COLUMN('3. Convertible Securities'!$E$16)-1,FALSE)),"n/a")</f>
        <v>4.6608716399999999</v>
      </c>
      <c r="AB50" s="182"/>
      <c r="AC50" s="138"/>
    </row>
    <row r="51" spans="2:29" s="22" customFormat="1" ht="15" customHeight="1" x14ac:dyDescent="0.4">
      <c r="B51" s="295">
        <f>IFERROR(IF('3. Convertible Securities'!B19=0,"N/A",'3. Convertible Securities'!B19), "Not Found, Delete")</f>
        <v>3</v>
      </c>
      <c r="C51" s="56" t="str">
        <f>+IFERROR(VLOOKUP(B51,'3. Convertible Securities'!$B$17:$L$21,COLUMN('3. Convertible Securities'!$C$16)-1,FALSE), "N/A")</f>
        <v>Current Investor #3</v>
      </c>
      <c r="D51" s="301" t="str">
        <f>+IFERROR(VLOOKUP(B51,'3. Convertible Securities'!$B$17:$L$21,COLUMN('3. Convertible Securities'!$D$16)-1,FALSE), "N/A")</f>
        <v>2019 Notes</v>
      </c>
      <c r="E51" s="302">
        <f>+IFERROR(VLOOKUP(B51,'3. Convertible Securities'!$B$17:$L$21,COLUMN('3. Convertible Securities'!$E$16)-1,FALSE), "N/A")</f>
        <v>100000</v>
      </c>
      <c r="F51" s="329">
        <f>+IFERROR(IF(VLOOKUP($B51,'3. Convertible Securities'!$B$17:$K$21,COLUMN('3. Convertible Securities'!$F$16)-1,FALSE)=0,"N/A",$E$17-(VLOOKUP($B51,'3. Convertible Securities'!$B$17:$K$21,COLUMN('3. Convertible Securities'!$F$16)-1,FALSE))),"N/A")</f>
        <v>790</v>
      </c>
      <c r="G51" s="329">
        <f>IFERROR(VLOOKUP($B51,'3. Convertible Securities'!$B$17:$K$21,COLUMN('3. Convertible Securities'!$K$16)-1,FALSE), "N/A")</f>
        <v>365</v>
      </c>
      <c r="H51" s="333">
        <f>IFERROR(VLOOKUP($B51,'3. Convertible Securities'!$B$17:$K$21,COLUMN('3. Convertible Securities'!$G$16)-1,FALSE), "N/A")</f>
        <v>0.08</v>
      </c>
      <c r="I51" s="268">
        <f t="shared" si="10"/>
        <v>17315.068493150688</v>
      </c>
      <c r="J51" s="268">
        <f t="shared" si="11"/>
        <v>117315.06849315068</v>
      </c>
      <c r="K51" s="341">
        <f>+IFERROR(VLOOKUP(B51,'3. Convertible Securities'!$B$16:$L$22,COLUMN('3. Convertible Securities'!$H$16)-1,FALSE), "N/A")</f>
        <v>0.2</v>
      </c>
      <c r="L51" s="268">
        <f>+IFERROR(VLOOKUP(B51,'3. Convertible Securities'!$B$16:$L$22,COLUMN('3. Convertible Securities'!$I$16)-1,FALSE), "N/A")</f>
        <v>4000000</v>
      </c>
      <c r="M51" s="375" t="str">
        <f>+IFERROR(VLOOKUP(B51,'3. Convertible Securities'!$B$16:$L$22,COLUMN('3. Convertible Securities'!$J$16)-1,FALSE), "N/A")</f>
        <v>Post-Money</v>
      </c>
      <c r="N51" s="373">
        <f>+IF($E$21="Yes",SUM($F$79,$H$79),SUM($F$59:$F$76,$F$77,$H$79))</f>
        <v>14800000</v>
      </c>
      <c r="O51" s="346">
        <f t="shared" si="12"/>
        <v>0.27027027027027029</v>
      </c>
      <c r="P51" s="377">
        <f ca="1">+IF($E$22="Yes",SUM($F$79,$H$79,$N$79,$Q$79),SUM($F$59:$F$76,$F$77,$H$79,$N$79,$Q$79))</f>
        <v>15680608</v>
      </c>
      <c r="Q51" s="368">
        <f t="shared" ca="1" si="13"/>
        <v>0.25509214948808107</v>
      </c>
      <c r="R51" s="346">
        <f>IF(D51="N/A","N/A",'4. Pro Forma Cap Table'!$E$24)</f>
        <v>1.0135000000000001</v>
      </c>
      <c r="S51" s="346">
        <f>+IFERROR(ROUND((1-K51)*R51,4), "N/A")</f>
        <v>0.81079999999999997</v>
      </c>
      <c r="T51" s="347">
        <f ca="1">+IFERROR(ROUND(IF(L51=0,"N/A",IFERROR(IF(M51="Pre-Money",O51,IF(M51="Post-Money",Q51,IF(M51="None","N/A","N/A"))),"N/A")),4), "N/A")</f>
        <v>0.25509999999999999</v>
      </c>
      <c r="U51" s="348">
        <f ca="1">+IF(D51="N/A", "N/A",MIN(S51:T51))</f>
        <v>0.25509999999999999</v>
      </c>
      <c r="V51" s="267">
        <f t="shared" ca="1" si="14"/>
        <v>459879</v>
      </c>
      <c r="W51" s="383">
        <f t="shared" ca="1" si="15"/>
        <v>466087.37</v>
      </c>
      <c r="X51" s="292">
        <f ca="1">+IFERROR(IF(MAX(-(T51-R51)/R51,-(S51-R51)/R51,0)=1,"n/a",MAX(-(T51-R51)/R51,-(S51-R51)/R51,0)),"N/A")</f>
        <v>0.74829797730636416</v>
      </c>
      <c r="Y51" s="269">
        <f ca="1">IFERROR(W51/(VLOOKUP(B51,'3. Convertible Securities'!$B$16:$L$22,COLUMN('3. Convertible Securities'!$E$16)-1,FALSE)),"n/a")</f>
        <v>4.6608736999999998</v>
      </c>
      <c r="AB51" s="25"/>
      <c r="AC51" s="138"/>
    </row>
    <row r="52" spans="2:29" s="22" customFormat="1" ht="15" customHeight="1" x14ac:dyDescent="0.4">
      <c r="B52" s="294">
        <f>IFERROR(IF('3. Convertible Securities'!B20=0,"N/A",'3. Convertible Securities'!B20), "Not Found, Delete")</f>
        <v>4</v>
      </c>
      <c r="C52" s="9" t="str">
        <f>+IFERROR(VLOOKUP(B52,'3. Convertible Securities'!$B$17:$L$21,COLUMN('3. Convertible Securities'!$C$16)-1,FALSE), "N/A")</f>
        <v>Current Investor #1</v>
      </c>
      <c r="D52" s="300" t="str">
        <f>+IFERROR(VLOOKUP(B52,'3. Convertible Securities'!$B$17:$L$21,COLUMN('3. Convertible Securities'!$D$16)-1,FALSE), "N/A")</f>
        <v>2020 Notes</v>
      </c>
      <c r="E52" s="21">
        <f>+IFERROR(VLOOKUP(B52,'3. Convertible Securities'!$B$17:$L$21,COLUMN('3. Convertible Securities'!$E$16)-1,FALSE), "N/A")</f>
        <v>50000</v>
      </c>
      <c r="F52" s="328">
        <f>+IFERROR(IF(VLOOKUP($B52,'3. Convertible Securities'!$B$17:$K$21,COLUMN('3. Convertible Securities'!$F$16)-1,FALSE)=0,"N/A",$E$17-(VLOOKUP($B52,'3. Convertible Securities'!$B$17:$K$21,COLUMN('3. Convertible Securities'!$F$16)-1,FALSE))),"N/A")</f>
        <v>425</v>
      </c>
      <c r="G52" s="328">
        <f>IFERROR(VLOOKUP($B52,'3. Convertible Securities'!$B$17:$K$21,COLUMN('3. Convertible Securities'!$K$16)-1,FALSE), "N/A")</f>
        <v>365</v>
      </c>
      <c r="H52" s="332">
        <f>IFERROR(VLOOKUP($B52,'3. Convertible Securities'!$B$17:$K$21,COLUMN('3. Convertible Securities'!$G$16)-1,FALSE), "N/A")</f>
        <v>0.08</v>
      </c>
      <c r="I52" s="21">
        <f t="shared" si="10"/>
        <v>4657.5342465753429</v>
      </c>
      <c r="J52" s="21">
        <f t="shared" si="11"/>
        <v>54657.534246575342</v>
      </c>
      <c r="K52" s="340">
        <f>+IFERROR(VLOOKUP(B52,'3. Convertible Securities'!$B$16:$L$22,COLUMN('3. Convertible Securities'!$H$16)-1,FALSE), "N/A")</f>
        <v>0.2</v>
      </c>
      <c r="L52" s="21">
        <f>+IFERROR(VLOOKUP(B52,'3. Convertible Securities'!$B$16:$L$22,COLUMN('3. Convertible Securities'!$I$16)-1,FALSE), "N/A")</f>
        <v>10000000</v>
      </c>
      <c r="M52" s="374" t="str">
        <f>+IFERROR(VLOOKUP(B52,'3. Convertible Securities'!$B$16:$L$22,COLUMN('3. Convertible Securities'!$J$16)-1,FALSE), "N/A")</f>
        <v>Pre-Money</v>
      </c>
      <c r="N52" s="362">
        <f>+IF($E$21="Yes",SUM($F$79,$H$79),SUM($F$59:$F$76,$F$77,$H$79))</f>
        <v>14800000</v>
      </c>
      <c r="O52" s="343">
        <f t="shared" si="12"/>
        <v>0.67567567567567566</v>
      </c>
      <c r="P52" s="376">
        <f ca="1">+IF($E$22="Yes",SUM($F$79,$H$79,$N$79,$Q$79),SUM($F$59:$F$76,$F$77,$H$79,$N$79,$Q$79))</f>
        <v>15680608</v>
      </c>
      <c r="Q52" s="367">
        <f t="shared" ca="1" si="13"/>
        <v>0.63773037372020269</v>
      </c>
      <c r="R52" s="343">
        <f>IF(D52="N/A","N/A",'4. Pro Forma Cap Table'!$E$24)</f>
        <v>1.0135000000000001</v>
      </c>
      <c r="S52" s="343">
        <f>+IFERROR(ROUND((1-K52)*R52,4), "N/A")</f>
        <v>0.81079999999999997</v>
      </c>
      <c r="T52" s="344">
        <f>+IFERROR(ROUND(IF(L52=0,"N/A",IFERROR(IF(M52="Pre-Money",O52,IF(M52="Post-Money",Q52,IF(M52="None","N/A","N/A"))),"N/A")),4), "N/A")</f>
        <v>0.67569999999999997</v>
      </c>
      <c r="U52" s="345">
        <f>+IF(D52="N/A", "N/A",MIN(S52:T52))</f>
        <v>0.67569999999999997</v>
      </c>
      <c r="V52" s="24">
        <f t="shared" si="14"/>
        <v>80890</v>
      </c>
      <c r="W52" s="382">
        <f t="shared" si="15"/>
        <v>81982.01999999999</v>
      </c>
      <c r="X52" s="25">
        <f>+IFERROR(IF(MAX(-(T52-R52)/R52,-(S52-R52)/R52,0)=1,"n/a",MAX(-(T52-R52)/R52,-(S52-R52)/R52,0)),"N/A")</f>
        <v>0.33330044400592018</v>
      </c>
      <c r="Y52" s="26">
        <f>IFERROR(W52/(VLOOKUP(B52,'3. Convertible Securities'!$B$16:$L$22,COLUMN('3. Convertible Securities'!$E$16)-1,FALSE)),"n/a")</f>
        <v>1.6396403999999998</v>
      </c>
      <c r="AB52" s="25"/>
      <c r="AC52" s="138"/>
    </row>
    <row r="53" spans="2:29" s="22" customFormat="1" ht="15" customHeight="1" x14ac:dyDescent="0.4">
      <c r="B53" s="294">
        <f>IFERROR(IF('3. Convertible Securities'!B21=0,"N/A",'3. Convertible Securities'!B21), "Not Found, Delete")</f>
        <v>5</v>
      </c>
      <c r="C53" s="9" t="str">
        <f>+IFERROR(VLOOKUP(B53,'3. Convertible Securities'!$B$17:$L$21,COLUMN('3. Convertible Securities'!$C$16)-1,FALSE), "N/A")</f>
        <v>Current Investor #4</v>
      </c>
      <c r="D53" s="300" t="str">
        <f>+IFERROR(VLOOKUP(B53,'3. Convertible Securities'!$B$17:$L$21,COLUMN('3. Convertible Securities'!$D$16)-1,FALSE), "N/A")</f>
        <v>2020 Notes</v>
      </c>
      <c r="E53" s="21">
        <f>+IFERROR(VLOOKUP(B53,'3. Convertible Securities'!$B$17:$L$21,COLUMN('3. Convertible Securities'!$E$16)-1,FALSE), "N/A")</f>
        <v>25000</v>
      </c>
      <c r="F53" s="328">
        <f>+IFERROR(IF(VLOOKUP($B53,'3. Convertible Securities'!$B$17:$K$21,COLUMN('3. Convertible Securities'!$F$16)-1,FALSE)=0,"N/A",$E$17-(VLOOKUP($B53,'3. Convertible Securities'!$B$17:$K$21,COLUMN('3. Convertible Securities'!$F$16)-1,FALSE))),"N/A")</f>
        <v>425</v>
      </c>
      <c r="G53" s="328">
        <f>IFERROR(VLOOKUP($B53,'3. Convertible Securities'!$B$17:$K$21,COLUMN('3. Convertible Securities'!$K$16)-1,FALSE), "N/A")</f>
        <v>365</v>
      </c>
      <c r="H53" s="332">
        <f>IFERROR(VLOOKUP($B53,'3. Convertible Securities'!$B$17:$K$21,COLUMN('3. Convertible Securities'!$G$16)-1,FALSE), "N/A")</f>
        <v>0.08</v>
      </c>
      <c r="I53" s="21">
        <f t="shared" si="10"/>
        <v>2328.7671232876714</v>
      </c>
      <c r="J53" s="21">
        <f t="shared" si="11"/>
        <v>27328.767123287671</v>
      </c>
      <c r="K53" s="340">
        <f>+IFERROR(VLOOKUP(B53,'3. Convertible Securities'!$B$16:$L$22,COLUMN('3. Convertible Securities'!$H$16)-1,FALSE), "N/A")</f>
        <v>0.2</v>
      </c>
      <c r="L53" s="21">
        <f>+IFERROR(VLOOKUP(B53,'3. Convertible Securities'!$B$16:$L$22,COLUMN('3. Convertible Securities'!$I$16)-1,FALSE), "N/A")</f>
        <v>10000000</v>
      </c>
      <c r="M53" s="374" t="str">
        <f>+IFERROR(VLOOKUP(B53,'3. Convertible Securities'!$B$16:$L$22,COLUMN('3. Convertible Securities'!$J$16)-1,FALSE), "N/A")</f>
        <v>Pre-Money</v>
      </c>
      <c r="N53" s="362">
        <f>+IF($E$21="Yes",SUM($F$79,$H$79),SUM($F$59:$F$76,$F$77,$H$79))</f>
        <v>14800000</v>
      </c>
      <c r="O53" s="343">
        <f t="shared" si="12"/>
        <v>0.67567567567567566</v>
      </c>
      <c r="P53" s="377">
        <f ca="1">+IF($E$22="Yes",SUM($F$79,$H$79,$N$79,$Q$79),SUM($F$59:$F$76,$F$77,$H$79,$N$79,$Q$79))</f>
        <v>15680608</v>
      </c>
      <c r="Q53" s="367">
        <f t="shared" ca="1" si="13"/>
        <v>0.63773037372020269</v>
      </c>
      <c r="R53" s="343">
        <f>IF(D53="N/A","N/A",'4. Pro Forma Cap Table'!$E$24)</f>
        <v>1.0135000000000001</v>
      </c>
      <c r="S53" s="343">
        <f>+IFERROR(ROUND((1-K53)*R53,4), "N/A")</f>
        <v>0.81079999999999997</v>
      </c>
      <c r="T53" s="344">
        <f>+IFERROR(ROUND(IF(L53=0,"N/A",IFERROR(IF(M53="Pre-Money",O53,IF(M53="Post-Money",Q53,IF(M53="None","N/A","N/A"))),"N/A")),4), "N/A")</f>
        <v>0.67569999999999997</v>
      </c>
      <c r="U53" s="345">
        <f>+IF(D53="N/A", "N/A",MIN(S53:T53))</f>
        <v>0.67569999999999997</v>
      </c>
      <c r="V53" s="24">
        <f t="shared" si="14"/>
        <v>40445</v>
      </c>
      <c r="W53" s="66">
        <f t="shared" si="15"/>
        <v>40991.01</v>
      </c>
      <c r="X53" s="25">
        <f>+IFERROR(IF(MAX(-(T53-R53)/R53,-(S53-R53)/R53,0)=1,"n/a",MAX(-(T53-R53)/R53,-(S53-R53)/R53,0)),"N/A")</f>
        <v>0.33330044400592018</v>
      </c>
      <c r="Y53" s="26">
        <f>IFERROR(W53/(VLOOKUP(B53,'3. Convertible Securities'!$B$16:$L$22,COLUMN('3. Convertible Securities'!$E$16)-1,FALSE)),"n/a")</f>
        <v>1.6396404</v>
      </c>
      <c r="AB53" s="25"/>
      <c r="AC53" s="138"/>
    </row>
    <row r="54" spans="2:29" s="22" customFormat="1" ht="15" customHeight="1" x14ac:dyDescent="0.4">
      <c r="B54" s="219" t="s">
        <v>59</v>
      </c>
      <c r="C54" s="237"/>
      <c r="D54" s="238"/>
      <c r="E54" s="331">
        <f>+SUM(E49:E53)</f>
        <v>675000</v>
      </c>
      <c r="F54" s="237"/>
      <c r="G54" s="237"/>
      <c r="H54" s="237"/>
      <c r="I54" s="160">
        <f>+SUM(I49:I53)</f>
        <v>110876.71232876714</v>
      </c>
      <c r="J54" s="296">
        <f>+SUM(J49:J53)</f>
        <v>785876.71232876705</v>
      </c>
      <c r="K54" s="342"/>
      <c r="L54" s="237"/>
      <c r="M54" s="238"/>
      <c r="N54" s="237"/>
      <c r="O54" s="237"/>
      <c r="P54" s="378"/>
      <c r="Q54" s="238"/>
      <c r="R54" s="237"/>
      <c r="S54" s="237"/>
      <c r="T54" s="237"/>
      <c r="U54" s="238"/>
      <c r="V54" s="174">
        <f ca="1">+SUM(V49:V53)</f>
        <v>2880608</v>
      </c>
      <c r="W54" s="384">
        <f ca="1">+SUM(W49:W53)</f>
        <v>2919496.2199999997</v>
      </c>
      <c r="X54" s="237"/>
      <c r="Y54" s="238"/>
      <c r="AB54" s="25"/>
      <c r="AC54" s="138"/>
    </row>
    <row r="55" spans="2:29" s="22" customFormat="1" ht="15" customHeight="1" thickBot="1" x14ac:dyDescent="0.45">
      <c r="E55" s="330">
        <f>+E54-'3. Convertible Securities'!E22</f>
        <v>0</v>
      </c>
      <c r="J55" s="201"/>
      <c r="S55" s="134"/>
      <c r="T55" s="134"/>
      <c r="U55" s="134"/>
      <c r="V55" s="134"/>
      <c r="W55" s="134"/>
      <c r="X55" s="136"/>
      <c r="Y55" s="136"/>
      <c r="Z55" s="24"/>
      <c r="AA55" s="28"/>
      <c r="AB55" s="25"/>
      <c r="AC55" s="138"/>
    </row>
    <row r="56" spans="2:29" s="22" customFormat="1" ht="15" customHeight="1" x14ac:dyDescent="0.4">
      <c r="B56" s="409" t="s">
        <v>154</v>
      </c>
      <c r="C56" s="419"/>
      <c r="D56" s="410" t="s">
        <v>27</v>
      </c>
      <c r="E56" s="410"/>
      <c r="F56" s="410"/>
      <c r="G56" s="420"/>
      <c r="H56" s="411" t="s">
        <v>155</v>
      </c>
      <c r="I56" s="421"/>
      <c r="J56" s="412" t="s">
        <v>156</v>
      </c>
      <c r="K56" s="422"/>
      <c r="L56" s="412" t="str">
        <f>"Series Y-1 Preferred (" &amp; '3. Convertible Securities'!B12&amp;")"</f>
        <v>Series Y-1 Preferred (2019 Notes)</v>
      </c>
      <c r="M56" s="412"/>
      <c r="N56" s="422"/>
      <c r="O56" s="412" t="str">
        <f>"Series Y-2 Preferred (" &amp; '3. Convertible Securities'!B13&amp;")"</f>
        <v>Series Y-2 Preferred (2020 Notes)</v>
      </c>
      <c r="P56" s="412"/>
      <c r="Q56" s="422"/>
      <c r="R56" s="412" t="s">
        <v>157</v>
      </c>
      <c r="S56" s="424"/>
      <c r="T56" s="413" t="s">
        <v>200</v>
      </c>
      <c r="U56" s="414"/>
      <c r="W56" s="10"/>
      <c r="AB56" s="25"/>
      <c r="AC56" s="138"/>
    </row>
    <row r="57" spans="2:29" s="22" customFormat="1" ht="15" customHeight="1" x14ac:dyDescent="0.4">
      <c r="B57" s="415"/>
      <c r="C57" s="385"/>
      <c r="D57" s="155" t="s">
        <v>27</v>
      </c>
      <c r="E57" s="155" t="s">
        <v>158</v>
      </c>
      <c r="F57" s="155" t="s">
        <v>159</v>
      </c>
      <c r="G57" s="385" t="s">
        <v>160</v>
      </c>
      <c r="H57" s="155" t="s">
        <v>191</v>
      </c>
      <c r="I57" s="385" t="s">
        <v>192</v>
      </c>
      <c r="J57" s="155" t="s">
        <v>201</v>
      </c>
      <c r="K57" s="270" t="s">
        <v>169</v>
      </c>
      <c r="L57" s="155" t="s">
        <v>161</v>
      </c>
      <c r="M57" s="155" t="s">
        <v>210</v>
      </c>
      <c r="N57" s="270" t="s">
        <v>170</v>
      </c>
      <c r="O57" s="155" t="s">
        <v>161</v>
      </c>
      <c r="P57" s="155" t="s">
        <v>197</v>
      </c>
      <c r="Q57" s="270" t="s">
        <v>171</v>
      </c>
      <c r="R57" s="155" t="s">
        <v>162</v>
      </c>
      <c r="S57" s="385" t="s">
        <v>163</v>
      </c>
      <c r="T57" s="155" t="s">
        <v>59</v>
      </c>
      <c r="U57" s="385" t="s">
        <v>164</v>
      </c>
      <c r="W57" s="10"/>
      <c r="AB57" s="25"/>
      <c r="AC57" s="138"/>
    </row>
    <row r="58" spans="2:29" s="22" customFormat="1" ht="15" customHeight="1" x14ac:dyDescent="0.4">
      <c r="B58" s="386" t="s">
        <v>165</v>
      </c>
      <c r="C58" s="387" t="s">
        <v>31</v>
      </c>
      <c r="D58" s="34" t="s">
        <v>150</v>
      </c>
      <c r="E58" s="34" t="s">
        <v>166</v>
      </c>
      <c r="F58" s="34" t="s">
        <v>167</v>
      </c>
      <c r="G58" s="387" t="s">
        <v>167</v>
      </c>
      <c r="H58" s="34" t="s">
        <v>168</v>
      </c>
      <c r="I58" s="387" t="s">
        <v>28</v>
      </c>
      <c r="J58" s="34" t="s">
        <v>196</v>
      </c>
      <c r="K58" s="35" t="s">
        <v>168</v>
      </c>
      <c r="L58" s="34" t="s">
        <v>198</v>
      </c>
      <c r="M58" s="34" t="s">
        <v>199</v>
      </c>
      <c r="N58" s="35" t="s">
        <v>168</v>
      </c>
      <c r="O58" s="34" t="s">
        <v>198</v>
      </c>
      <c r="P58" s="34" t="s">
        <v>199</v>
      </c>
      <c r="Q58" s="35" t="s">
        <v>168</v>
      </c>
      <c r="R58" s="34" t="s">
        <v>172</v>
      </c>
      <c r="S58" s="387" t="s">
        <v>173</v>
      </c>
      <c r="T58" s="34" t="s">
        <v>167</v>
      </c>
      <c r="U58" s="387" t="s">
        <v>174</v>
      </c>
      <c r="W58" s="10"/>
      <c r="AB58" s="25"/>
      <c r="AC58" s="138"/>
    </row>
    <row r="59" spans="2:29" s="22" customFormat="1" ht="15" customHeight="1" x14ac:dyDescent="0.4">
      <c r="B59" s="416" t="str">
        <f>+IF('1. Current Cap Table'!B10=0,"N/A",'1. Current Cap Table'!B10)</f>
        <v>Founder #1</v>
      </c>
      <c r="C59" s="388" t="str">
        <f>+IF(VLOOKUP($B59,'1. Current Cap Table'!$B$10:$L$27,COLUMN('1. Current Cap Table'!$C$9)-1,FALSE)=0,"N/A",VLOOKUP($B59,'1. Current Cap Table'!$B$10:$L$27,COLUMN('1. Current Cap Table'!$C$9)-1,FALSE))</f>
        <v>Founder</v>
      </c>
      <c r="D59" s="406">
        <f>+IFERROR(VLOOKUP(B59,'1. Current Cap Table'!$B$9:$L$28,COLUMN('1. Current Cap Table'!$D$9)-1,FALSE),0)+IFERROR(VLOOKUP(B59,'1. Current Cap Table'!$B$9:$L$28,COLUMN('1. Current Cap Table'!$E$9)-1,FALSE),0)</f>
        <v>7510000</v>
      </c>
      <c r="E59" s="103">
        <f>+IFERROR(VLOOKUP(B59,'1. Current Cap Table'!$B$9:$L$28,COLUMN('1. Current Cap Table'!$F$9)-1,FALSE),0)</f>
        <v>40000</v>
      </c>
      <c r="F59" s="60">
        <f t="shared" ref="F59:F70" si="16">D59+E59</f>
        <v>7550000</v>
      </c>
      <c r="G59" s="389">
        <f t="shared" ref="G59:G78" si="17">IFERROR(F59/$F$79,0)</f>
        <v>0.54710144927536231</v>
      </c>
      <c r="H59" s="390">
        <f>+IFERROR(VLOOKUP(B59,'1. Current Cap Table'!$B$9:$L$28,COLUMN('1. Current Cap Table'!$I$9)-1,FALSE),0)</f>
        <v>0</v>
      </c>
      <c r="I59" s="389">
        <f t="shared" ref="I59:I78" si="18">IFERROR(H59/$H$79, 0)</f>
        <v>0</v>
      </c>
      <c r="J59" s="38">
        <f>+IFERROR(VLOOKUP(B59,$B$27:$E$33,COLUMN($D$26)-1,FALSE),0)</f>
        <v>0</v>
      </c>
      <c r="K59" s="423">
        <f>ROUNDDOWN((J59)/$E$24,0)</f>
        <v>0</v>
      </c>
      <c r="L59" s="38">
        <f>+IFERROR(SUMIFS($E$49:$E$53,$C$49:$C$53,$B59,$D$49:$D$53,'3. Convertible Securities'!$B$12),0)</f>
        <v>0</v>
      </c>
      <c r="M59" s="38">
        <f>+IFERROR(SUMIFS($W$49:$W$53,$C$49:$C$53,$B59,$D$49:$D$53,'3. Convertible Securities'!$B$12),0)</f>
        <v>0</v>
      </c>
      <c r="N59" s="423">
        <f>+IFERROR(SUMIFS($V$49:$V$53,$C$49:$C$53,$B59,$D$49:$D$53,'3. Convertible Securities'!$B$12),0)</f>
        <v>0</v>
      </c>
      <c r="O59" s="38">
        <f>+IFERROR(SUMIFS($E$49:$E$53,$C$49:$C$53,$B59,$D$49:$D$53,'3. Convertible Securities'!$B$13),0)</f>
        <v>0</v>
      </c>
      <c r="P59" s="38">
        <f>+IFERROR(SUMIFS($W$49:$W$53,$C$49:$C$53,$B59,$D$49:$D$53,'3. Convertible Securities'!$B$13),0)</f>
        <v>0</v>
      </c>
      <c r="Q59" s="423">
        <f>+IFERROR(SUMIFS($V$49:$V$53,$C$49:$C$53,$B59,$D$49:$D$53,'3. Convertible Securities'!$B$13),0)</f>
        <v>0</v>
      </c>
      <c r="R59" s="407">
        <f t="shared" ref="R59:R78" si="19">SUM(Q59,N59,K59)</f>
        <v>0</v>
      </c>
      <c r="S59" s="391">
        <f t="shared" ref="S59:S78" ca="1" si="20">IFERROR(R59/$R$79, 0)</f>
        <v>0</v>
      </c>
      <c r="T59" s="169">
        <f t="shared" ref="T59:T78" si="21">R59+F59+H59</f>
        <v>7550000</v>
      </c>
      <c r="U59" s="428">
        <f t="shared" ref="U59:U78" ca="1" si="22">IFERROR(T59/$T$79, 0)</f>
        <v>0.36578312519869777</v>
      </c>
      <c r="W59" s="10"/>
      <c r="AB59" s="25"/>
      <c r="AC59" s="138"/>
    </row>
    <row r="60" spans="2:29" s="22" customFormat="1" ht="15" customHeight="1" x14ac:dyDescent="0.4">
      <c r="B60" s="416" t="str">
        <f>+IF('1. Current Cap Table'!B11=0,"N/A",'1. Current Cap Table'!B11)</f>
        <v>Founder #2</v>
      </c>
      <c r="C60" s="388" t="str">
        <f>+IF(VLOOKUP($B60,'1. Current Cap Table'!$B$10:$L$27,COLUMN('1. Current Cap Table'!$C$9)-1,FALSE)=0,"N/A",VLOOKUP($B60,'1. Current Cap Table'!$B$10:$L$27,COLUMN('1. Current Cap Table'!$C$9)-1,FALSE))</f>
        <v>Founder</v>
      </c>
      <c r="D60" s="406">
        <f>+IFERROR(VLOOKUP(B60,'1. Current Cap Table'!$B$9:$L$28,COLUMN('1. Current Cap Table'!$D$9)-1,FALSE),0)+IFERROR(VLOOKUP(B60,'1. Current Cap Table'!$B$9:$L$28,COLUMN('1. Current Cap Table'!$E$9)-1,FALSE),0)</f>
        <v>1800000</v>
      </c>
      <c r="E60" s="103">
        <f>+IFERROR(VLOOKUP(B60,'1. Current Cap Table'!$B$9:$L$28,COLUMN('1. Current Cap Table'!$F$9)-1,FALSE),0)</f>
        <v>50000</v>
      </c>
      <c r="F60" s="60">
        <f t="shared" si="16"/>
        <v>1850000</v>
      </c>
      <c r="G60" s="389">
        <f t="shared" si="17"/>
        <v>0.13405797101449277</v>
      </c>
      <c r="H60" s="390">
        <f>+IFERROR(VLOOKUP(B60,'1. Current Cap Table'!$B$9:$L$28,COLUMN('1. Current Cap Table'!$I$9)-1,FALSE),0)</f>
        <v>0</v>
      </c>
      <c r="I60" s="389">
        <f t="shared" si="18"/>
        <v>0</v>
      </c>
      <c r="J60" s="38">
        <f t="shared" ref="J60:J78" si="23">+IFERROR(VLOOKUP(B60,$B$27:$E$33,COLUMN($D$26)-1,FALSE),0)</f>
        <v>0</v>
      </c>
      <c r="K60" s="423">
        <f t="shared" ref="K60:K78" si="24">ROUNDDOWN((J60)/$E$24,0)</f>
        <v>0</v>
      </c>
      <c r="L60" s="38">
        <f>+IFERROR(SUMIFS($E$49:$E$53,$C$49:$C$53,$B60,$D$49:$D$53,'3. Convertible Securities'!$B$12),0)</f>
        <v>0</v>
      </c>
      <c r="M60" s="38">
        <f>+IFERROR(SUMIFS($W$49:$W$53,$C$49:$C$53,$B60,$D$49:$D$53,'3. Convertible Securities'!$B$12),0)</f>
        <v>0</v>
      </c>
      <c r="N60" s="423">
        <f>+IFERROR(SUMIFS($V$49:$V$53,$C$49:$C$53,$B60,$D$49:$D$53,'3. Convertible Securities'!$B$12),0)</f>
        <v>0</v>
      </c>
      <c r="O60" s="38">
        <f>+IFERROR(SUMIFS($E$49:$E$53,$C$49:$C$53,$B60,$D$49:$D$53,'3. Convertible Securities'!$B$13),0)</f>
        <v>0</v>
      </c>
      <c r="P60" s="38">
        <f>+IFERROR(SUMIFS($W$49:$W$53,$C$49:$C$53,$B60,$D$49:$D$53,'3. Convertible Securities'!$B$13),0)</f>
        <v>0</v>
      </c>
      <c r="Q60" s="423">
        <f>+IFERROR(SUMIFS($V$49:$V$53,$C$49:$C$53,$B60,$D$49:$D$53,'3. Convertible Securities'!$B$13),0)</f>
        <v>0</v>
      </c>
      <c r="R60" s="407">
        <f t="shared" si="19"/>
        <v>0</v>
      </c>
      <c r="S60" s="391">
        <f t="shared" ca="1" si="20"/>
        <v>0</v>
      </c>
      <c r="T60" s="169">
        <f t="shared" si="21"/>
        <v>1850000</v>
      </c>
      <c r="U60" s="428">
        <f t="shared" ca="1" si="22"/>
        <v>8.9628977697694151E-2</v>
      </c>
      <c r="W60" s="10"/>
      <c r="AB60" s="25"/>
      <c r="AC60" s="138"/>
    </row>
    <row r="61" spans="2:29" s="9" customFormat="1" ht="15" customHeight="1" x14ac:dyDescent="0.4">
      <c r="B61" s="416" t="str">
        <f>+IF('1. Current Cap Table'!B12=0,"N/A",'1. Current Cap Table'!B12)</f>
        <v>Employee #1</v>
      </c>
      <c r="C61" s="388" t="str">
        <f>+IF(VLOOKUP($B61,'1. Current Cap Table'!$B$10:$L$27,COLUMN('1. Current Cap Table'!$C$9)-1,FALSE)=0,"N/A",VLOOKUP($B61,'1. Current Cap Table'!$B$10:$L$27,COLUMN('1. Current Cap Table'!$C$9)-1,FALSE))</f>
        <v>Employee</v>
      </c>
      <c r="D61" s="406">
        <f>+IFERROR(VLOOKUP(B61,'1. Current Cap Table'!$B$9:$L$28,COLUMN('1. Current Cap Table'!$D$9)-1,FALSE),0)+IFERROR(VLOOKUP(B61,'1. Current Cap Table'!$B$9:$L$28,COLUMN('1. Current Cap Table'!$E$9)-1,FALSE),0)</f>
        <v>15000</v>
      </c>
      <c r="E61" s="103">
        <f>+IFERROR(VLOOKUP(B61,'1. Current Cap Table'!$B$9:$L$28,COLUMN('1. Current Cap Table'!$F$9)-1,FALSE),0)</f>
        <v>60000</v>
      </c>
      <c r="F61" s="60">
        <f t="shared" si="16"/>
        <v>75000</v>
      </c>
      <c r="G61" s="389">
        <f t="shared" si="17"/>
        <v>5.434782608695652E-3</v>
      </c>
      <c r="H61" s="390">
        <f>+IFERROR(VLOOKUP(B61,'1. Current Cap Table'!$B$9:$L$28,COLUMN('1. Current Cap Table'!$I$9)-1,FALSE),0)</f>
        <v>0</v>
      </c>
      <c r="I61" s="389">
        <f t="shared" si="18"/>
        <v>0</v>
      </c>
      <c r="J61" s="38">
        <f t="shared" si="23"/>
        <v>0</v>
      </c>
      <c r="K61" s="423">
        <f t="shared" si="24"/>
        <v>0</v>
      </c>
      <c r="L61" s="38">
        <f>+IFERROR(SUMIFS($E$49:$E$53,$C$49:$C$53,$B61,$D$49:$D$53,'3. Convertible Securities'!$B$12),0)</f>
        <v>0</v>
      </c>
      <c r="M61" s="38">
        <f>+IFERROR(SUMIFS($W$49:$W$53,$C$49:$C$53,$B61,$D$49:$D$53,'3. Convertible Securities'!$B$12),0)</f>
        <v>0</v>
      </c>
      <c r="N61" s="423">
        <f>+IFERROR(SUMIFS($V$49:$V$53,$C$49:$C$53,$B61,$D$49:$D$53,'3. Convertible Securities'!$B$12),0)</f>
        <v>0</v>
      </c>
      <c r="O61" s="38">
        <f>+IFERROR(SUMIFS($E$49:$E$53,$C$49:$C$53,$B61,$D$49:$D$53,'3. Convertible Securities'!$B$13),0)</f>
        <v>0</v>
      </c>
      <c r="P61" s="38">
        <f>+IFERROR(SUMIFS($W$49:$W$53,$C$49:$C$53,$B61,$D$49:$D$53,'3. Convertible Securities'!$B$13),0)</f>
        <v>0</v>
      </c>
      <c r="Q61" s="423">
        <f>+IFERROR(SUMIFS($V$49:$V$53,$C$49:$C$53,$B61,$D$49:$D$53,'3. Convertible Securities'!$B$13),0)</f>
        <v>0</v>
      </c>
      <c r="R61" s="407">
        <f t="shared" si="19"/>
        <v>0</v>
      </c>
      <c r="S61" s="391">
        <f t="shared" ca="1" si="20"/>
        <v>0</v>
      </c>
      <c r="T61" s="169">
        <f t="shared" si="21"/>
        <v>75000</v>
      </c>
      <c r="U61" s="428">
        <f t="shared" ca="1" si="22"/>
        <v>3.6336072039605738E-3</v>
      </c>
    </row>
    <row r="62" spans="2:29" s="9" customFormat="1" ht="15" customHeight="1" x14ac:dyDescent="0.4">
      <c r="B62" s="416" t="str">
        <f>+IF('1. Current Cap Table'!B13=0,"N/A",'1. Current Cap Table'!B13)</f>
        <v>Employee #2</v>
      </c>
      <c r="C62" s="388" t="str">
        <f>+IF(VLOOKUP($B62,'1. Current Cap Table'!$B$10:$L$27,COLUMN('1. Current Cap Table'!$C$9)-1,FALSE)=0,"N/A",VLOOKUP($B62,'1. Current Cap Table'!$B$10:$L$27,COLUMN('1. Current Cap Table'!$C$9)-1,FALSE))</f>
        <v>Employee</v>
      </c>
      <c r="D62" s="406">
        <f>+IFERROR(VLOOKUP(B62,'1. Current Cap Table'!$B$9:$L$28,COLUMN('1. Current Cap Table'!$D$9)-1,FALSE),0)+IFERROR(VLOOKUP(B62,'1. Current Cap Table'!$B$9:$L$28,COLUMN('1. Current Cap Table'!$E$9)-1,FALSE),0)</f>
        <v>0</v>
      </c>
      <c r="E62" s="103">
        <f>+IFERROR(VLOOKUP(B62,'1. Current Cap Table'!$B$9:$L$28,COLUMN('1. Current Cap Table'!$F$9)-1,FALSE),0)</f>
        <v>1000000</v>
      </c>
      <c r="F62" s="60">
        <f t="shared" si="16"/>
        <v>1000000</v>
      </c>
      <c r="G62" s="389">
        <f t="shared" si="17"/>
        <v>7.2463768115942032E-2</v>
      </c>
      <c r="H62" s="390">
        <f>+IFERROR(VLOOKUP(B62,'1. Current Cap Table'!$B$9:$L$28,COLUMN('1. Current Cap Table'!$I$9)-1,FALSE),0)</f>
        <v>0</v>
      </c>
      <c r="I62" s="389">
        <f t="shared" si="18"/>
        <v>0</v>
      </c>
      <c r="J62" s="38">
        <f t="shared" si="23"/>
        <v>0</v>
      </c>
      <c r="K62" s="423">
        <f t="shared" si="24"/>
        <v>0</v>
      </c>
      <c r="L62" s="38">
        <f>+IFERROR(SUMIFS($E$49:$E$53,$C$49:$C$53,$B62,$D$49:$D$53,'3. Convertible Securities'!$B$12),0)</f>
        <v>0</v>
      </c>
      <c r="M62" s="38">
        <f>+IFERROR(SUMIFS($W$49:$W$53,$C$49:$C$53,$B62,$D$49:$D$53,'3. Convertible Securities'!$B$12),0)</f>
        <v>0</v>
      </c>
      <c r="N62" s="423">
        <f>+IFERROR(SUMIFS($V$49:$V$53,$C$49:$C$53,$B62,$D$49:$D$53,'3. Convertible Securities'!$B$12),0)</f>
        <v>0</v>
      </c>
      <c r="O62" s="38">
        <f>+IFERROR(SUMIFS($E$49:$E$53,$C$49:$C$53,$B62,$D$49:$D$53,'3. Convertible Securities'!$B$13),0)</f>
        <v>0</v>
      </c>
      <c r="P62" s="38">
        <f>+IFERROR(SUMIFS($W$49:$W$53,$C$49:$C$53,$B62,$D$49:$D$53,'3. Convertible Securities'!$B$13),0)</f>
        <v>0</v>
      </c>
      <c r="Q62" s="423">
        <f>+IFERROR(SUMIFS($V$49:$V$53,$C$49:$C$53,$B62,$D$49:$D$53,'3. Convertible Securities'!$B$13),0)</f>
        <v>0</v>
      </c>
      <c r="R62" s="407">
        <f t="shared" si="19"/>
        <v>0</v>
      </c>
      <c r="S62" s="391">
        <f t="shared" ca="1" si="20"/>
        <v>0</v>
      </c>
      <c r="T62" s="169">
        <f t="shared" si="21"/>
        <v>1000000</v>
      </c>
      <c r="U62" s="428">
        <f t="shared" ca="1" si="22"/>
        <v>4.844809605280765E-2</v>
      </c>
    </row>
    <row r="63" spans="2:29" s="9" customFormat="1" ht="15" customHeight="1" x14ac:dyDescent="0.4">
      <c r="B63" s="416" t="str">
        <f>+IF('1. Current Cap Table'!B14=0,"N/A",'1. Current Cap Table'!B14)</f>
        <v>Employee #3</v>
      </c>
      <c r="C63" s="388" t="str">
        <f>+IF(VLOOKUP($B63,'1. Current Cap Table'!$B$10:$L$27,COLUMN('1. Current Cap Table'!$C$9)-1,FALSE)=0,"N/A",VLOOKUP($B63,'1. Current Cap Table'!$B$10:$L$27,COLUMN('1. Current Cap Table'!$C$9)-1,FALSE))</f>
        <v>Employee</v>
      </c>
      <c r="D63" s="406">
        <f>+IFERROR(VLOOKUP(B63,'1. Current Cap Table'!$B$9:$L$28,COLUMN('1. Current Cap Table'!$D$9)-1,FALSE),0)+IFERROR(VLOOKUP(B63,'1. Current Cap Table'!$B$9:$L$28,COLUMN('1. Current Cap Table'!$E$9)-1,FALSE),0)</f>
        <v>0</v>
      </c>
      <c r="E63" s="103">
        <f>+IFERROR(VLOOKUP(B63,'1. Current Cap Table'!$B$9:$L$28,COLUMN('1. Current Cap Table'!$F$9)-1,FALSE),0)</f>
        <v>750000</v>
      </c>
      <c r="F63" s="60">
        <f t="shared" si="16"/>
        <v>750000</v>
      </c>
      <c r="G63" s="389">
        <f t="shared" si="17"/>
        <v>5.434782608695652E-2</v>
      </c>
      <c r="H63" s="390">
        <f>+IFERROR(VLOOKUP(B63,'1. Current Cap Table'!$B$9:$L$28,COLUMN('1. Current Cap Table'!$I$9)-1,FALSE),0)</f>
        <v>0</v>
      </c>
      <c r="I63" s="389">
        <f t="shared" si="18"/>
        <v>0</v>
      </c>
      <c r="J63" s="38">
        <f t="shared" si="23"/>
        <v>0</v>
      </c>
      <c r="K63" s="423">
        <f t="shared" si="24"/>
        <v>0</v>
      </c>
      <c r="L63" s="38">
        <f>+IFERROR(SUMIFS($E$49:$E$53,$C$49:$C$53,$B63,$D$49:$D$53,'3. Convertible Securities'!$B$12),0)</f>
        <v>0</v>
      </c>
      <c r="M63" s="38">
        <f>+IFERROR(SUMIFS($W$49:$W$53,$C$49:$C$53,$B63,$D$49:$D$53,'3. Convertible Securities'!$B$12),0)</f>
        <v>0</v>
      </c>
      <c r="N63" s="423">
        <f>+IFERROR(SUMIFS($V$49:$V$53,$C$49:$C$53,$B63,$D$49:$D$53,'3. Convertible Securities'!$B$12),0)</f>
        <v>0</v>
      </c>
      <c r="O63" s="38">
        <f>+IFERROR(SUMIFS($E$49:$E$53,$C$49:$C$53,$B63,$D$49:$D$53,'3. Convertible Securities'!$B$13),0)</f>
        <v>0</v>
      </c>
      <c r="P63" s="38">
        <f>+IFERROR(SUMIFS($W$49:$W$53,$C$49:$C$53,$B63,$D$49:$D$53,'3. Convertible Securities'!$B$13),0)</f>
        <v>0</v>
      </c>
      <c r="Q63" s="423">
        <f>+IFERROR(SUMIFS($V$49:$V$53,$C$49:$C$53,$B63,$D$49:$D$53,'3. Convertible Securities'!$B$13),0)</f>
        <v>0</v>
      </c>
      <c r="R63" s="407">
        <f t="shared" si="19"/>
        <v>0</v>
      </c>
      <c r="S63" s="391">
        <f t="shared" ca="1" si="20"/>
        <v>0</v>
      </c>
      <c r="T63" s="169">
        <f t="shared" si="21"/>
        <v>750000</v>
      </c>
      <c r="U63" s="428">
        <f t="shared" ca="1" si="22"/>
        <v>3.6336072039605739E-2</v>
      </c>
    </row>
    <row r="64" spans="2:29" s="9" customFormat="1" ht="15" customHeight="1" x14ac:dyDescent="0.4">
      <c r="B64" s="416" t="str">
        <f>+IF('1. Current Cap Table'!B15=0,"N/A",'1. Current Cap Table'!B15)</f>
        <v>Employee #4</v>
      </c>
      <c r="C64" s="388" t="str">
        <f>+IF(VLOOKUP($B64,'1. Current Cap Table'!$B$10:$L$27,COLUMN('1. Current Cap Table'!$C$9)-1,FALSE)=0,"N/A",VLOOKUP($B64,'1. Current Cap Table'!$B$10:$L$27,COLUMN('1. Current Cap Table'!$C$9)-1,FALSE))</f>
        <v>Employee</v>
      </c>
      <c r="D64" s="406">
        <f>+IFERROR(VLOOKUP(B64,'1. Current Cap Table'!$B$9:$L$28,COLUMN('1. Current Cap Table'!$D$9)-1,FALSE),0)+IFERROR(VLOOKUP(B64,'1. Current Cap Table'!$B$9:$L$28,COLUMN('1. Current Cap Table'!$E$9)-1,FALSE),0)</f>
        <v>80000</v>
      </c>
      <c r="E64" s="103">
        <f>+IFERROR(VLOOKUP(B64,'1. Current Cap Table'!$B$9:$L$28,COLUMN('1. Current Cap Table'!$F$9)-1,FALSE),0)</f>
        <v>0</v>
      </c>
      <c r="F64" s="60">
        <f t="shared" si="16"/>
        <v>80000</v>
      </c>
      <c r="G64" s="389">
        <f t="shared" si="17"/>
        <v>5.7971014492753624E-3</v>
      </c>
      <c r="H64" s="390">
        <f>+IFERROR(VLOOKUP(B64,'1. Current Cap Table'!$B$9:$L$28,COLUMN('1. Current Cap Table'!$I$9)-1,FALSE),0)</f>
        <v>0</v>
      </c>
      <c r="I64" s="389">
        <f t="shared" si="18"/>
        <v>0</v>
      </c>
      <c r="J64" s="38">
        <f t="shared" si="23"/>
        <v>0</v>
      </c>
      <c r="K64" s="423">
        <f t="shared" si="24"/>
        <v>0</v>
      </c>
      <c r="L64" s="38">
        <f>+IFERROR(SUMIFS($E$49:$E$53,$C$49:$C$53,$B64,$D$49:$D$53,'3. Convertible Securities'!$B$12),0)</f>
        <v>0</v>
      </c>
      <c r="M64" s="38">
        <f>+IFERROR(SUMIFS($W$49:$W$53,$C$49:$C$53,$B64,$D$49:$D$53,'3. Convertible Securities'!$B$12),0)</f>
        <v>0</v>
      </c>
      <c r="N64" s="423">
        <f>+IFERROR(SUMIFS($V$49:$V$53,$C$49:$C$53,$B64,$D$49:$D$53,'3. Convertible Securities'!$B$12),0)</f>
        <v>0</v>
      </c>
      <c r="O64" s="38">
        <f>+IFERROR(SUMIFS($E$49:$E$53,$C$49:$C$53,$B64,$D$49:$D$53,'3. Convertible Securities'!$B$13),0)</f>
        <v>0</v>
      </c>
      <c r="P64" s="38">
        <f>+IFERROR(SUMIFS($W$49:$W$53,$C$49:$C$53,$B64,$D$49:$D$53,'3. Convertible Securities'!$B$13),0)</f>
        <v>0</v>
      </c>
      <c r="Q64" s="423">
        <f>+IFERROR(SUMIFS($V$49:$V$53,$C$49:$C$53,$B64,$D$49:$D$53,'3. Convertible Securities'!$B$13),0)</f>
        <v>0</v>
      </c>
      <c r="R64" s="407">
        <f t="shared" si="19"/>
        <v>0</v>
      </c>
      <c r="S64" s="391">
        <f t="shared" ca="1" si="20"/>
        <v>0</v>
      </c>
      <c r="T64" s="169">
        <f t="shared" si="21"/>
        <v>80000</v>
      </c>
      <c r="U64" s="428">
        <f t="shared" ca="1" si="22"/>
        <v>3.8758476842246118E-3</v>
      </c>
    </row>
    <row r="65" spans="2:36" s="9" customFormat="1" ht="15" customHeight="1" x14ac:dyDescent="0.4">
      <c r="B65" s="416" t="str">
        <f>+IF('1. Current Cap Table'!B16=0,"N/A",'1. Current Cap Table'!B16)</f>
        <v>Employee #5</v>
      </c>
      <c r="C65" s="388" t="str">
        <f>+IF(VLOOKUP($B65,'1. Current Cap Table'!$B$10:$L$27,COLUMN('1. Current Cap Table'!$C$9)-1,FALSE)=0,"N/A",VLOOKUP($B65,'1. Current Cap Table'!$B$10:$L$27,COLUMN('1. Current Cap Table'!$C$9)-1,FALSE))</f>
        <v>Employee</v>
      </c>
      <c r="D65" s="406">
        <f>+IFERROR(VLOOKUP(B65,'1. Current Cap Table'!$B$9:$L$28,COLUMN('1. Current Cap Table'!$D$9)-1,FALSE),0)+IFERROR(VLOOKUP(B65,'1. Current Cap Table'!$B$9:$L$28,COLUMN('1. Current Cap Table'!$E$9)-1,FALSE),0)</f>
        <v>0</v>
      </c>
      <c r="E65" s="103">
        <f>+IFERROR(VLOOKUP(B65,'1. Current Cap Table'!$B$9:$L$28,COLUMN('1. Current Cap Table'!$F$9)-1,FALSE),0)</f>
        <v>0</v>
      </c>
      <c r="F65" s="60">
        <f t="shared" si="16"/>
        <v>0</v>
      </c>
      <c r="G65" s="389">
        <f t="shared" si="17"/>
        <v>0</v>
      </c>
      <c r="H65" s="390">
        <f>+IFERROR(VLOOKUP(B65,'1. Current Cap Table'!$B$9:$L$28,COLUMN('1. Current Cap Table'!$I$9)-1,FALSE),0)</f>
        <v>0</v>
      </c>
      <c r="I65" s="389">
        <f t="shared" si="18"/>
        <v>0</v>
      </c>
      <c r="J65" s="38">
        <f t="shared" si="23"/>
        <v>0</v>
      </c>
      <c r="K65" s="423">
        <f t="shared" si="24"/>
        <v>0</v>
      </c>
      <c r="L65" s="38">
        <f>+IFERROR(SUMIFS($E$49:$E$53,$C$49:$C$53,$B65,$D$49:$D$53,'3. Convertible Securities'!$B$12),0)</f>
        <v>0</v>
      </c>
      <c r="M65" s="38">
        <f>+IFERROR(SUMIFS($W$49:$W$53,$C$49:$C$53,$B65,$D$49:$D$53,'3. Convertible Securities'!$B$12),0)</f>
        <v>0</v>
      </c>
      <c r="N65" s="423">
        <f>+IFERROR(SUMIFS($V$49:$V$53,$C$49:$C$53,$B65,$D$49:$D$53,'3. Convertible Securities'!$B$12),0)</f>
        <v>0</v>
      </c>
      <c r="O65" s="38">
        <f>+IFERROR(SUMIFS($E$49:$E$53,$C$49:$C$53,$B65,$D$49:$D$53,'3. Convertible Securities'!$B$13),0)</f>
        <v>0</v>
      </c>
      <c r="P65" s="38">
        <f>+IFERROR(SUMIFS($W$49:$W$53,$C$49:$C$53,$B65,$D$49:$D$53,'3. Convertible Securities'!$B$13),0)</f>
        <v>0</v>
      </c>
      <c r="Q65" s="423">
        <f>+IFERROR(SUMIFS($V$49:$V$53,$C$49:$C$53,$B65,$D$49:$D$53,'3. Convertible Securities'!$B$13),0)</f>
        <v>0</v>
      </c>
      <c r="R65" s="407">
        <f t="shared" si="19"/>
        <v>0</v>
      </c>
      <c r="S65" s="391">
        <f t="shared" ca="1" si="20"/>
        <v>0</v>
      </c>
      <c r="T65" s="169">
        <f t="shared" si="21"/>
        <v>0</v>
      </c>
      <c r="U65" s="428">
        <f t="shared" ca="1" si="22"/>
        <v>0</v>
      </c>
    </row>
    <row r="66" spans="2:36" s="9" customFormat="1" ht="15" customHeight="1" x14ac:dyDescent="0.4">
      <c r="B66" s="416" t="str">
        <f>+IF('1. Current Cap Table'!B17=0,"N/A",'1. Current Cap Table'!B17)</f>
        <v>Employee #6</v>
      </c>
      <c r="C66" s="388" t="str">
        <f>+IF(VLOOKUP($B66,'1. Current Cap Table'!$B$10:$L$27,COLUMN('1. Current Cap Table'!$C$9)-1,FALSE)=0,"N/A",VLOOKUP($B66,'1. Current Cap Table'!$B$10:$L$27,COLUMN('1. Current Cap Table'!$C$9)-1,FALSE))</f>
        <v>Employee</v>
      </c>
      <c r="D66" s="406">
        <f>+IFERROR(VLOOKUP(B66,'1. Current Cap Table'!$B$9:$L$28,COLUMN('1. Current Cap Table'!$D$9)-1,FALSE),0)+IFERROR(VLOOKUP(B66,'1. Current Cap Table'!$B$9:$L$28,COLUMN('1. Current Cap Table'!$E$9)-1,FALSE),0)</f>
        <v>0</v>
      </c>
      <c r="E66" s="103">
        <f>+IFERROR(VLOOKUP(B66,'1. Current Cap Table'!$B$9:$L$28,COLUMN('1. Current Cap Table'!$F$9)-1,FALSE),0)</f>
        <v>100000</v>
      </c>
      <c r="F66" s="60">
        <f t="shared" si="16"/>
        <v>100000</v>
      </c>
      <c r="G66" s="389">
        <f t="shared" si="17"/>
        <v>7.246376811594203E-3</v>
      </c>
      <c r="H66" s="390">
        <f>+IFERROR(VLOOKUP(B66,'1. Current Cap Table'!$B$9:$L$28,COLUMN('1. Current Cap Table'!$I$9)-1,FALSE),0)</f>
        <v>0</v>
      </c>
      <c r="I66" s="389">
        <f t="shared" si="18"/>
        <v>0</v>
      </c>
      <c r="J66" s="38">
        <f t="shared" si="23"/>
        <v>0</v>
      </c>
      <c r="K66" s="423">
        <f t="shared" si="24"/>
        <v>0</v>
      </c>
      <c r="L66" s="38">
        <f>+IFERROR(SUMIFS($E$49:$E$53,$C$49:$C$53,$B66,$D$49:$D$53,'3. Convertible Securities'!$B$12),0)</f>
        <v>0</v>
      </c>
      <c r="M66" s="38">
        <f>+IFERROR(SUMIFS($W$49:$W$53,$C$49:$C$53,$B66,$D$49:$D$53,'3. Convertible Securities'!$B$12),0)</f>
        <v>0</v>
      </c>
      <c r="N66" s="423">
        <f>+IFERROR(SUMIFS($V$49:$V$53,$C$49:$C$53,$B66,$D$49:$D$53,'3. Convertible Securities'!$B$12),0)</f>
        <v>0</v>
      </c>
      <c r="O66" s="38">
        <f>+IFERROR(SUMIFS($E$49:$E$53,$C$49:$C$53,$B66,$D$49:$D$53,'3. Convertible Securities'!$B$13),0)</f>
        <v>0</v>
      </c>
      <c r="P66" s="38">
        <f>+IFERROR(SUMIFS($W$49:$W$53,$C$49:$C$53,$B66,$D$49:$D$53,'3. Convertible Securities'!$B$13),0)</f>
        <v>0</v>
      </c>
      <c r="Q66" s="423">
        <f>+IFERROR(SUMIFS($V$49:$V$53,$C$49:$C$53,$B66,$D$49:$D$53,'3. Convertible Securities'!$B$13),0)</f>
        <v>0</v>
      </c>
      <c r="R66" s="407">
        <f t="shared" si="19"/>
        <v>0</v>
      </c>
      <c r="S66" s="391">
        <f t="shared" ca="1" si="20"/>
        <v>0</v>
      </c>
      <c r="T66" s="169">
        <f t="shared" si="21"/>
        <v>100000</v>
      </c>
      <c r="U66" s="428">
        <f t="shared" ca="1" si="22"/>
        <v>4.844809605280765E-3</v>
      </c>
    </row>
    <row r="67" spans="2:36" s="9" customFormat="1" ht="15" customHeight="1" x14ac:dyDescent="0.4">
      <c r="B67" s="416" t="str">
        <f>+IF('1. Current Cap Table'!B18=0,"N/A",'1. Current Cap Table'!B18)</f>
        <v>Employee #7</v>
      </c>
      <c r="C67" s="388" t="str">
        <f>+IF(VLOOKUP($B67,'1. Current Cap Table'!$B$10:$L$27,COLUMN('1. Current Cap Table'!$C$9)-1,FALSE)=0,"N/A",VLOOKUP($B67,'1. Current Cap Table'!$B$10:$L$27,COLUMN('1. Current Cap Table'!$C$9)-1,FALSE))</f>
        <v>Employee</v>
      </c>
      <c r="D67" s="406">
        <f>+IFERROR(VLOOKUP(B67,'1. Current Cap Table'!$B$9:$L$28,COLUMN('1. Current Cap Table'!$D$9)-1,FALSE),0)+IFERROR(VLOOKUP(B67,'1. Current Cap Table'!$B$9:$L$28,COLUMN('1. Current Cap Table'!$E$9)-1,FALSE),0)</f>
        <v>0</v>
      </c>
      <c r="E67" s="103">
        <f>+IFERROR(VLOOKUP(B67,'1. Current Cap Table'!$B$9:$L$28,COLUMN('1. Current Cap Table'!$F$9)-1,FALSE),0)</f>
        <v>100000</v>
      </c>
      <c r="F67" s="60">
        <f t="shared" si="16"/>
        <v>100000</v>
      </c>
      <c r="G67" s="389">
        <f t="shared" si="17"/>
        <v>7.246376811594203E-3</v>
      </c>
      <c r="H67" s="390">
        <f>+IFERROR(VLOOKUP(B67,'1. Current Cap Table'!$B$9:$L$28,COLUMN('1. Current Cap Table'!$I$9)-1,FALSE),0)</f>
        <v>0</v>
      </c>
      <c r="I67" s="389">
        <f t="shared" si="18"/>
        <v>0</v>
      </c>
      <c r="J67" s="38">
        <f t="shared" si="23"/>
        <v>0</v>
      </c>
      <c r="K67" s="423">
        <f t="shared" si="24"/>
        <v>0</v>
      </c>
      <c r="L67" s="38">
        <f>+IFERROR(SUMIFS($E$49:$E$53,$C$49:$C$53,$B67,$D$49:$D$53,'3. Convertible Securities'!$B$12),0)</f>
        <v>0</v>
      </c>
      <c r="M67" s="38">
        <f>+IFERROR(SUMIFS($W$49:$W$53,$C$49:$C$53,$B67,$D$49:$D$53,'3. Convertible Securities'!$B$12),0)</f>
        <v>0</v>
      </c>
      <c r="N67" s="423">
        <f>+IFERROR(SUMIFS($V$49:$V$53,$C$49:$C$53,$B67,$D$49:$D$53,'3. Convertible Securities'!$B$12),0)</f>
        <v>0</v>
      </c>
      <c r="O67" s="38">
        <f>+IFERROR(SUMIFS($E$49:$E$53,$C$49:$C$53,$B67,$D$49:$D$53,'3. Convertible Securities'!$B$13),0)</f>
        <v>0</v>
      </c>
      <c r="P67" s="38">
        <f>+IFERROR(SUMIFS($W$49:$W$53,$C$49:$C$53,$B67,$D$49:$D$53,'3. Convertible Securities'!$B$13),0)</f>
        <v>0</v>
      </c>
      <c r="Q67" s="423">
        <f>+IFERROR(SUMIFS($V$49:$V$53,$C$49:$C$53,$B67,$D$49:$D$53,'3. Convertible Securities'!$B$13),0)</f>
        <v>0</v>
      </c>
      <c r="R67" s="407">
        <f t="shared" si="19"/>
        <v>0</v>
      </c>
      <c r="S67" s="391">
        <f t="shared" ca="1" si="20"/>
        <v>0</v>
      </c>
      <c r="T67" s="169">
        <f t="shared" si="21"/>
        <v>100000</v>
      </c>
      <c r="U67" s="428">
        <f t="shared" ca="1" si="22"/>
        <v>4.844809605280765E-3</v>
      </c>
    </row>
    <row r="68" spans="2:36" s="9" customFormat="1" ht="15" customHeight="1" x14ac:dyDescent="0.4">
      <c r="B68" s="416" t="str">
        <f>+IF('1. Current Cap Table'!B19=0,"N/A",'1. Current Cap Table'!B19)</f>
        <v>Employee #8</v>
      </c>
      <c r="C68" s="388" t="str">
        <f>+IF(VLOOKUP($B68,'1. Current Cap Table'!$B$10:$L$27,COLUMN('1. Current Cap Table'!$C$9)-1,FALSE)=0,"N/A",VLOOKUP($B68,'1. Current Cap Table'!$B$10:$L$27,COLUMN('1. Current Cap Table'!$C$9)-1,FALSE))</f>
        <v>Employee</v>
      </c>
      <c r="D68" s="406">
        <f>+IFERROR(VLOOKUP(B68,'1. Current Cap Table'!$B$9:$L$28,COLUMN('1. Current Cap Table'!$D$9)-1,FALSE),0)+IFERROR(VLOOKUP(B68,'1. Current Cap Table'!$B$9:$L$28,COLUMN('1. Current Cap Table'!$E$9)-1,FALSE),0)</f>
        <v>0</v>
      </c>
      <c r="E68" s="103">
        <f>+IFERROR(VLOOKUP(B68,'1. Current Cap Table'!$B$9:$L$28,COLUMN('1. Current Cap Table'!$F$9)-1,FALSE),0)</f>
        <v>100000</v>
      </c>
      <c r="F68" s="60">
        <f t="shared" si="16"/>
        <v>100000</v>
      </c>
      <c r="G68" s="389">
        <f t="shared" si="17"/>
        <v>7.246376811594203E-3</v>
      </c>
      <c r="H68" s="390">
        <f>+IFERROR(VLOOKUP(B68,'1. Current Cap Table'!$B$9:$L$28,COLUMN('1. Current Cap Table'!$I$9)-1,FALSE),0)</f>
        <v>0</v>
      </c>
      <c r="I68" s="389">
        <f t="shared" si="18"/>
        <v>0</v>
      </c>
      <c r="J68" s="38">
        <f t="shared" si="23"/>
        <v>0</v>
      </c>
      <c r="K68" s="423">
        <f t="shared" si="24"/>
        <v>0</v>
      </c>
      <c r="L68" s="38">
        <f>+IFERROR(SUMIFS($E$49:$E$53,$C$49:$C$53,$B68,$D$49:$D$53,'3. Convertible Securities'!$B$12),0)</f>
        <v>0</v>
      </c>
      <c r="M68" s="38">
        <f>+IFERROR(SUMIFS($W$49:$W$53,$C$49:$C$53,$B68,$D$49:$D$53,'3. Convertible Securities'!$B$12),0)</f>
        <v>0</v>
      </c>
      <c r="N68" s="423">
        <f>+IFERROR(SUMIFS($V$49:$V$53,$C$49:$C$53,$B68,$D$49:$D$53,'3. Convertible Securities'!$B$12),0)</f>
        <v>0</v>
      </c>
      <c r="O68" s="38">
        <f>+IFERROR(SUMIFS($E$49:$E$53,$C$49:$C$53,$B68,$D$49:$D$53,'3. Convertible Securities'!$B$13),0)</f>
        <v>0</v>
      </c>
      <c r="P68" s="38">
        <f>+IFERROR(SUMIFS($W$49:$W$53,$C$49:$C$53,$B68,$D$49:$D$53,'3. Convertible Securities'!$B$13),0)</f>
        <v>0</v>
      </c>
      <c r="Q68" s="423">
        <f>+IFERROR(SUMIFS($V$49:$V$53,$C$49:$C$53,$B68,$D$49:$D$53,'3. Convertible Securities'!$B$13),0)</f>
        <v>0</v>
      </c>
      <c r="R68" s="407">
        <f t="shared" si="19"/>
        <v>0</v>
      </c>
      <c r="S68" s="391">
        <f t="shared" ca="1" si="20"/>
        <v>0</v>
      </c>
      <c r="T68" s="169">
        <f t="shared" si="21"/>
        <v>100000</v>
      </c>
      <c r="U68" s="428">
        <f t="shared" ca="1" si="22"/>
        <v>4.844809605280765E-3</v>
      </c>
    </row>
    <row r="69" spans="2:36" s="9" customFormat="1" ht="15" customHeight="1" x14ac:dyDescent="0.4">
      <c r="B69" s="416" t="str">
        <f>+IF('1. Current Cap Table'!B20=0,"N/A",'1. Current Cap Table'!B20)</f>
        <v>Advisor / Board Member #1</v>
      </c>
      <c r="C69" s="388" t="str">
        <f>+IF(VLOOKUP($B69,'1. Current Cap Table'!$B$10:$L$27,COLUMN('1. Current Cap Table'!$C$9)-1,FALSE)=0,"N/A",VLOOKUP($B69,'1. Current Cap Table'!$B$10:$L$27,COLUMN('1. Current Cap Table'!$C$9)-1,FALSE))</f>
        <v>Advisor / Board</v>
      </c>
      <c r="D69" s="406">
        <f>+IFERROR(VLOOKUP(B69,'1. Current Cap Table'!$B$9:$L$28,COLUMN('1. Current Cap Table'!$D$9)-1,FALSE),0)+IFERROR(VLOOKUP(B69,'1. Current Cap Table'!$B$9:$L$28,COLUMN('1. Current Cap Table'!$E$9)-1,FALSE),0)</f>
        <v>0</v>
      </c>
      <c r="E69" s="103">
        <f>+IFERROR(VLOOKUP(B69,'1. Current Cap Table'!$B$9:$L$28,COLUMN('1. Current Cap Table'!$F$9)-1,FALSE),0)</f>
        <v>5000</v>
      </c>
      <c r="F69" s="60">
        <f t="shared" si="16"/>
        <v>5000</v>
      </c>
      <c r="G69" s="389">
        <f t="shared" si="17"/>
        <v>3.6231884057971015E-4</v>
      </c>
      <c r="H69" s="390">
        <f>+IFERROR(VLOOKUP(B69,'1. Current Cap Table'!$B$9:$L$28,COLUMN('1. Current Cap Table'!$I$9)-1,FALSE),0)</f>
        <v>0</v>
      </c>
      <c r="I69" s="389">
        <f t="shared" si="18"/>
        <v>0</v>
      </c>
      <c r="J69" s="38">
        <f t="shared" si="23"/>
        <v>0</v>
      </c>
      <c r="K69" s="423">
        <f t="shared" si="24"/>
        <v>0</v>
      </c>
      <c r="L69" s="38">
        <f>+IFERROR(SUMIFS($E$49:$E$53,$C$49:$C$53,$B69,$D$49:$D$53,'3. Convertible Securities'!$B$12),0)</f>
        <v>0</v>
      </c>
      <c r="M69" s="38">
        <f>+IFERROR(SUMIFS($W$49:$W$53,$C$49:$C$53,$B69,$D$49:$D$53,'3. Convertible Securities'!$B$12),0)</f>
        <v>0</v>
      </c>
      <c r="N69" s="423">
        <f>+IFERROR(SUMIFS($V$49:$V$53,$C$49:$C$53,$B69,$D$49:$D$53,'3. Convertible Securities'!$B$12),0)</f>
        <v>0</v>
      </c>
      <c r="O69" s="38">
        <f>+IFERROR(SUMIFS($E$49:$E$53,$C$49:$C$53,$B69,$D$49:$D$53,'3. Convertible Securities'!$B$13),0)</f>
        <v>0</v>
      </c>
      <c r="P69" s="38">
        <f>+IFERROR(SUMIFS($W$49:$W$53,$C$49:$C$53,$B69,$D$49:$D$53,'3. Convertible Securities'!$B$13),0)</f>
        <v>0</v>
      </c>
      <c r="Q69" s="423">
        <f>+IFERROR(SUMIFS($V$49:$V$53,$C$49:$C$53,$B69,$D$49:$D$53,'3. Convertible Securities'!$B$13),0)</f>
        <v>0</v>
      </c>
      <c r="R69" s="407">
        <f t="shared" si="19"/>
        <v>0</v>
      </c>
      <c r="S69" s="391">
        <f t="shared" ca="1" si="20"/>
        <v>0</v>
      </c>
      <c r="T69" s="169">
        <f t="shared" si="21"/>
        <v>5000</v>
      </c>
      <c r="U69" s="428">
        <f t="shared" ca="1" si="22"/>
        <v>2.4224048026403824E-4</v>
      </c>
    </row>
    <row r="70" spans="2:36" s="9" customFormat="1" ht="15" customHeight="1" x14ac:dyDescent="0.4">
      <c r="B70" s="416" t="str">
        <f>+IF('1. Current Cap Table'!B21=0,"N/A",'1. Current Cap Table'!B21)</f>
        <v>Advisor / Board Member #2</v>
      </c>
      <c r="C70" s="388" t="str">
        <f>+IF(VLOOKUP($B70,'1. Current Cap Table'!$B$10:$L$27,COLUMN('1. Current Cap Table'!$C$9)-1,FALSE)=0,"N/A",VLOOKUP($B70,'1. Current Cap Table'!$B$10:$L$27,COLUMN('1. Current Cap Table'!$C$9)-1,FALSE))</f>
        <v>Advisor / Board</v>
      </c>
      <c r="D70" s="406">
        <f>+IFERROR(VLOOKUP(B70,'1. Current Cap Table'!$B$9:$L$28,COLUMN('1. Current Cap Table'!$D$9)-1,FALSE),0)+IFERROR(VLOOKUP(B70,'1. Current Cap Table'!$B$9:$L$28,COLUMN('1. Current Cap Table'!$E$9)-1,FALSE),0)</f>
        <v>0</v>
      </c>
      <c r="E70" s="103">
        <f>+IFERROR(VLOOKUP(B70,'1. Current Cap Table'!$B$9:$L$28,COLUMN('1. Current Cap Table'!$F$9)-1,FALSE),0)</f>
        <v>5000</v>
      </c>
      <c r="F70" s="60">
        <f t="shared" si="16"/>
        <v>5000</v>
      </c>
      <c r="G70" s="389">
        <f t="shared" si="17"/>
        <v>3.6231884057971015E-4</v>
      </c>
      <c r="H70" s="390">
        <f>+IFERROR(VLOOKUP(B70,'1. Current Cap Table'!$B$9:$L$28,COLUMN('1. Current Cap Table'!$I$9)-1,FALSE),0)</f>
        <v>0</v>
      </c>
      <c r="I70" s="389">
        <f t="shared" si="18"/>
        <v>0</v>
      </c>
      <c r="J70" s="38">
        <f t="shared" si="23"/>
        <v>0</v>
      </c>
      <c r="K70" s="423">
        <f t="shared" si="24"/>
        <v>0</v>
      </c>
      <c r="L70" s="38">
        <f>+IFERROR(SUMIFS($E$49:$E$53,$C$49:$C$53,$B70,$D$49:$D$53,'3. Convertible Securities'!$B$12),0)</f>
        <v>0</v>
      </c>
      <c r="M70" s="38">
        <f>+IFERROR(SUMIFS($W$49:$W$53,$C$49:$C$53,$B70,$D$49:$D$53,'3. Convertible Securities'!$B$12),0)</f>
        <v>0</v>
      </c>
      <c r="N70" s="423">
        <f>+IFERROR(SUMIFS($V$49:$V$53,$C$49:$C$53,$B70,$D$49:$D$53,'3. Convertible Securities'!$B$12),0)</f>
        <v>0</v>
      </c>
      <c r="O70" s="38">
        <f>+IFERROR(SUMIFS($E$49:$E$53,$C$49:$C$53,$B70,$D$49:$D$53,'3. Convertible Securities'!$B$13),0)</f>
        <v>0</v>
      </c>
      <c r="P70" s="38">
        <f>+IFERROR(SUMIFS($W$49:$W$53,$C$49:$C$53,$B70,$D$49:$D$53,'3. Convertible Securities'!$B$13),0)</f>
        <v>0</v>
      </c>
      <c r="Q70" s="423">
        <f>+IFERROR(SUMIFS($V$49:$V$53,$C$49:$C$53,$B70,$D$49:$D$53,'3. Convertible Securities'!$B$13),0)</f>
        <v>0</v>
      </c>
      <c r="R70" s="407">
        <f t="shared" si="19"/>
        <v>0</v>
      </c>
      <c r="S70" s="391">
        <f t="shared" ca="1" si="20"/>
        <v>0</v>
      </c>
      <c r="T70" s="169">
        <f t="shared" si="21"/>
        <v>5000</v>
      </c>
      <c r="U70" s="428">
        <f t="shared" ca="1" si="22"/>
        <v>2.4224048026403824E-4</v>
      </c>
    </row>
    <row r="71" spans="2:36" s="9" customFormat="1" ht="15" customHeight="1" x14ac:dyDescent="0.4">
      <c r="B71" s="416" t="str">
        <f>+IF('1. Current Cap Table'!B22=0,"N/A",'1. Current Cap Table'!B22)</f>
        <v>Current Investor #1</v>
      </c>
      <c r="C71" s="388" t="str">
        <f>+IF(VLOOKUP($B71,'1. Current Cap Table'!$B$10:$L$27,COLUMN('1. Current Cap Table'!$C$9)-1,FALSE)=0,"N/A",VLOOKUP($B71,'1. Current Cap Table'!$B$10:$L$27,COLUMN('1. Current Cap Table'!$C$9)-1,FALSE))</f>
        <v>Current Investor</v>
      </c>
      <c r="D71" s="406">
        <f>+IFERROR(VLOOKUP(B71,'1. Current Cap Table'!$B$9:$L$28,COLUMN('1. Current Cap Table'!$D$9)-1,FALSE),0)+IFERROR(VLOOKUP(B71,'1. Current Cap Table'!$B$9:$L$28,COLUMN('1. Current Cap Table'!$E$9)-1,FALSE),0)</f>
        <v>0</v>
      </c>
      <c r="E71" s="103">
        <f>+IFERROR(VLOOKUP(B71,'1. Current Cap Table'!$B$9:$L$28,COLUMN('1. Current Cap Table'!$F$9)-1,FALSE),0)</f>
        <v>0</v>
      </c>
      <c r="F71" s="60">
        <f>D71+E71</f>
        <v>0</v>
      </c>
      <c r="G71" s="389">
        <f t="shared" si="17"/>
        <v>0</v>
      </c>
      <c r="H71" s="390">
        <f>+IFERROR(VLOOKUP(B71,'1. Current Cap Table'!$B$9:$L$28,COLUMN('1. Current Cap Table'!$I$9)-1,FALSE),0)</f>
        <v>500000</v>
      </c>
      <c r="I71" s="389">
        <f t="shared" si="18"/>
        <v>0.5</v>
      </c>
      <c r="J71" s="38">
        <f t="shared" si="23"/>
        <v>0</v>
      </c>
      <c r="K71" s="423">
        <f t="shared" si="24"/>
        <v>0</v>
      </c>
      <c r="L71" s="38">
        <f>+IFERROR(SUMIFS($E$49:$E$53,$C$49:$C$53,$B71,$D$49:$D$53,'3. Convertible Securities'!$B$12),0)</f>
        <v>250000</v>
      </c>
      <c r="M71" s="38">
        <f ca="1">+IFERROR(SUMIFS($W$49:$W$53,$C$49:$C$53,$B71,$D$49:$D$53,'3. Convertible Securities'!$B$12),0)</f>
        <v>1165217.9099999999</v>
      </c>
      <c r="N71" s="423">
        <f ca="1">+IFERROR(SUMIFS($V$49:$V$53,$C$49:$C$53,$B71,$D$49:$D$53,'3. Convertible Securities'!$B$12),0)</f>
        <v>1149697</v>
      </c>
      <c r="O71" s="38">
        <f>+IFERROR(SUMIFS($E$49:$E$53,$C$49:$C$53,$B71,$D$49:$D$53,'3. Convertible Securities'!$B$13),0)</f>
        <v>50000</v>
      </c>
      <c r="P71" s="38">
        <f>+IFERROR(SUMIFS($W$49:$W$53,$C$49:$C$53,$B71,$D$49:$D$53,'3. Convertible Securities'!$B$13),0)</f>
        <v>81982.01999999999</v>
      </c>
      <c r="Q71" s="423">
        <f>+IFERROR(SUMIFS($V$49:$V$53,$C$49:$C$53,$B71,$D$49:$D$53,'3. Convertible Securities'!$B$13),0)</f>
        <v>80890</v>
      </c>
      <c r="R71" s="407">
        <f t="shared" ca="1" si="19"/>
        <v>1230587</v>
      </c>
      <c r="S71" s="391">
        <f t="shared" ca="1" si="20"/>
        <v>0.21069364587410366</v>
      </c>
      <c r="T71" s="169">
        <f t="shared" ca="1" si="21"/>
        <v>1730587</v>
      </c>
      <c r="U71" s="428">
        <f t="shared" ca="1" si="22"/>
        <v>8.3843645203740227E-2</v>
      </c>
    </row>
    <row r="72" spans="2:36" s="9" customFormat="1" ht="15" customHeight="1" x14ac:dyDescent="0.4">
      <c r="B72" s="416" t="str">
        <f>+IF('1. Current Cap Table'!B23=0,"N/A",'1. Current Cap Table'!B23)</f>
        <v>Current Investor #2</v>
      </c>
      <c r="C72" s="388" t="str">
        <f>+IF(VLOOKUP($B72,'1. Current Cap Table'!$B$10:$L$27,COLUMN('1. Current Cap Table'!$C$9)-1,FALSE)=0,"N/A",VLOOKUP($B72,'1. Current Cap Table'!$B$10:$L$27,COLUMN('1. Current Cap Table'!$C$9)-1,FALSE))</f>
        <v>Current Investor</v>
      </c>
      <c r="D72" s="406">
        <f>+IFERROR(VLOOKUP(B72,'1. Current Cap Table'!$B$9:$L$28,COLUMN('1. Current Cap Table'!$D$9)-1,FALSE),0)+IFERROR(VLOOKUP(B72,'1. Current Cap Table'!$B$9:$L$28,COLUMN('1. Current Cap Table'!$E$9)-1,FALSE),0)</f>
        <v>0</v>
      </c>
      <c r="E72" s="103">
        <f>+IFERROR(VLOOKUP(B72,'1. Current Cap Table'!$B$9:$L$28,COLUMN('1. Current Cap Table'!$F$9)-1,FALSE),0)</f>
        <v>0</v>
      </c>
      <c r="F72" s="60">
        <f t="shared" ref="F72" si="25">D72+E72</f>
        <v>0</v>
      </c>
      <c r="G72" s="389">
        <f t="shared" si="17"/>
        <v>0</v>
      </c>
      <c r="H72" s="390">
        <f>+IFERROR(VLOOKUP(B72,'1. Current Cap Table'!$B$9:$L$28,COLUMN('1. Current Cap Table'!$I$9)-1,FALSE),0)</f>
        <v>500000</v>
      </c>
      <c r="I72" s="389">
        <f t="shared" si="18"/>
        <v>0.5</v>
      </c>
      <c r="J72" s="38">
        <f t="shared" si="23"/>
        <v>0</v>
      </c>
      <c r="K72" s="423">
        <f t="shared" si="24"/>
        <v>0</v>
      </c>
      <c r="L72" s="38">
        <f>+IFERROR(SUMIFS($E$49:$E$53,$C$49:$C$53,$B72,$D$49:$D$53,'3. Convertible Securities'!$B$12),0)</f>
        <v>250000</v>
      </c>
      <c r="M72" s="38">
        <f ca="1">+IFERROR(SUMIFS($W$49:$W$53,$C$49:$C$53,$B72,$D$49:$D$53,'3. Convertible Securities'!$B$12),0)</f>
        <v>1165217.9099999999</v>
      </c>
      <c r="N72" s="423">
        <f ca="1">+IFERROR(SUMIFS($V$49:$V$53,$C$49:$C$53,$B72,$D$49:$D$53,'3. Convertible Securities'!$B$12),0)</f>
        <v>1149697</v>
      </c>
      <c r="O72" s="38">
        <f>+IFERROR(SUMIFS($E$49:$E$53,$C$49:$C$53,$B72,$D$49:$D$53,'3. Convertible Securities'!$B$13),0)</f>
        <v>0</v>
      </c>
      <c r="P72" s="38">
        <f>+IFERROR(SUMIFS($W$49:$W$53,$C$49:$C$53,$B72,$D$49:$D$53,'3. Convertible Securities'!$B$13),0)</f>
        <v>0</v>
      </c>
      <c r="Q72" s="423">
        <f>+IFERROR(SUMIFS($V$49:$V$53,$C$49:$C$53,$B72,$D$49:$D$53,'3. Convertible Securities'!$B$13),0)</f>
        <v>0</v>
      </c>
      <c r="R72" s="407">
        <f t="shared" ca="1" si="19"/>
        <v>1149697</v>
      </c>
      <c r="S72" s="391">
        <f t="shared" ca="1" si="20"/>
        <v>0.19684415045869927</v>
      </c>
      <c r="T72" s="169">
        <f t="shared" ca="1" si="21"/>
        <v>1649697</v>
      </c>
      <c r="U72" s="428">
        <f t="shared" ca="1" si="22"/>
        <v>7.9924678714028627E-2</v>
      </c>
    </row>
    <row r="73" spans="2:36" s="9" customFormat="1" ht="15" customHeight="1" x14ac:dyDescent="0.4">
      <c r="B73" s="416" t="str">
        <f>+IF('1. Current Cap Table'!B24=0,"N/A",'1. Current Cap Table'!B24)</f>
        <v>Current Investor #3</v>
      </c>
      <c r="C73" s="388" t="str">
        <f>+IF(VLOOKUP($B73,'1. Current Cap Table'!$B$10:$L$27,COLUMN('1. Current Cap Table'!$C$9)-1,FALSE)=0,"N/A",VLOOKUP($B73,'1. Current Cap Table'!$B$10:$L$27,COLUMN('1. Current Cap Table'!$C$9)-1,FALSE))</f>
        <v>Current Investor</v>
      </c>
      <c r="D73" s="406">
        <f>+IFERROR(VLOOKUP(B73,'1. Current Cap Table'!$B$9:$L$28,COLUMN('1. Current Cap Table'!$D$9)-1,FALSE),0)+IFERROR(VLOOKUP(B73,'1. Current Cap Table'!$B$9:$L$28,COLUMN('1. Current Cap Table'!$E$9)-1,FALSE),0)</f>
        <v>0</v>
      </c>
      <c r="E73" s="103">
        <f>+IFERROR(VLOOKUP(B73,'1. Current Cap Table'!$B$9:$L$28,COLUMN('1. Current Cap Table'!$F$9)-1,FALSE),0)</f>
        <v>0</v>
      </c>
      <c r="F73" s="60">
        <f t="shared" ref="F73:F74" si="26">D73+E73</f>
        <v>0</v>
      </c>
      <c r="G73" s="389">
        <f t="shared" si="17"/>
        <v>0</v>
      </c>
      <c r="H73" s="390">
        <f>+IFERROR(VLOOKUP(B73,'1. Current Cap Table'!$B$9:$L$28,COLUMN('1. Current Cap Table'!$I$9)-1,FALSE),0)</f>
        <v>0</v>
      </c>
      <c r="I73" s="389">
        <f t="shared" si="18"/>
        <v>0</v>
      </c>
      <c r="J73" s="38">
        <f t="shared" si="23"/>
        <v>0</v>
      </c>
      <c r="K73" s="423">
        <f t="shared" si="24"/>
        <v>0</v>
      </c>
      <c r="L73" s="38">
        <f>+IFERROR(SUMIFS($E$49:$E$53,$C$49:$C$53,$B73,$D$49:$D$53,'3. Convertible Securities'!$B$12),0)</f>
        <v>100000</v>
      </c>
      <c r="M73" s="38">
        <f ca="1">+IFERROR(SUMIFS($W$49:$W$53,$C$49:$C$53,$B73,$D$49:$D$53,'3. Convertible Securities'!$B$12),0)</f>
        <v>466087.37</v>
      </c>
      <c r="N73" s="423">
        <f ca="1">+IFERROR(SUMIFS($V$49:$V$53,$C$49:$C$53,$B73,$D$49:$D$53,'3. Convertible Securities'!$B$12),0)</f>
        <v>459879</v>
      </c>
      <c r="O73" s="38">
        <f>+IFERROR(SUMIFS($E$49:$E$53,$C$49:$C$53,$B73,$D$49:$D$53,'3. Convertible Securities'!$B$13),0)</f>
        <v>0</v>
      </c>
      <c r="P73" s="38">
        <f>+IFERROR(SUMIFS($W$49:$W$53,$C$49:$C$53,$B73,$D$49:$D$53,'3. Convertible Securities'!$B$13),0)</f>
        <v>0</v>
      </c>
      <c r="Q73" s="423">
        <f>+IFERROR(SUMIFS($V$49:$V$53,$C$49:$C$53,$B73,$D$49:$D$53,'3. Convertible Securities'!$B$13),0)</f>
        <v>0</v>
      </c>
      <c r="R73" s="407">
        <f t="shared" ca="1" si="19"/>
        <v>459879</v>
      </c>
      <c r="S73" s="391">
        <f t="shared" ca="1" si="20"/>
        <v>7.8737694426267227E-2</v>
      </c>
      <c r="T73" s="169">
        <f t="shared" ca="1" si="21"/>
        <v>459879</v>
      </c>
      <c r="U73" s="428">
        <f t="shared" ca="1" si="22"/>
        <v>2.2280261964669128E-2</v>
      </c>
    </row>
    <row r="74" spans="2:36" s="9" customFormat="1" ht="15" customHeight="1" x14ac:dyDescent="0.4">
      <c r="B74" s="416" t="str">
        <f>+IF('1. Current Cap Table'!B25=0,"N/A",'1. Current Cap Table'!B25)</f>
        <v>Current Investor #4</v>
      </c>
      <c r="C74" s="388" t="str">
        <f>+IF(VLOOKUP($B74,'1. Current Cap Table'!$B$10:$L$27,COLUMN('1. Current Cap Table'!$C$9)-1,FALSE)=0,"N/A",VLOOKUP($B74,'1. Current Cap Table'!$B$10:$L$27,COLUMN('1. Current Cap Table'!$C$9)-1,FALSE))</f>
        <v>Current Investor</v>
      </c>
      <c r="D74" s="406">
        <f>+IFERROR(VLOOKUP(B74,'1. Current Cap Table'!$B$9:$L$28,COLUMN('1. Current Cap Table'!$D$9)-1,FALSE),0)+IFERROR(VLOOKUP(B74,'1. Current Cap Table'!$B$9:$L$28,COLUMN('1. Current Cap Table'!$E$9)-1,FALSE),0)</f>
        <v>0</v>
      </c>
      <c r="E74" s="103">
        <f>+IFERROR(VLOOKUP(B74,'1. Current Cap Table'!$B$9:$L$28,COLUMN('1. Current Cap Table'!$F$9)-1,FALSE),0)</f>
        <v>0</v>
      </c>
      <c r="F74" s="60">
        <f t="shared" si="26"/>
        <v>0</v>
      </c>
      <c r="G74" s="389">
        <f t="shared" si="17"/>
        <v>0</v>
      </c>
      <c r="H74" s="390">
        <f>+IFERROR(VLOOKUP(B74,'1. Current Cap Table'!$B$9:$L$28,COLUMN('1. Current Cap Table'!$I$9)-1,FALSE),0)</f>
        <v>0</v>
      </c>
      <c r="I74" s="389">
        <f t="shared" si="18"/>
        <v>0</v>
      </c>
      <c r="J74" s="38">
        <f t="shared" si="23"/>
        <v>0</v>
      </c>
      <c r="K74" s="423">
        <f t="shared" si="24"/>
        <v>0</v>
      </c>
      <c r="L74" s="38">
        <f>+IFERROR(SUMIFS($E$49:$E$53,$C$49:$C$53,$B74,$D$49:$D$53,'3. Convertible Securities'!$B$12),0)</f>
        <v>0</v>
      </c>
      <c r="M74" s="38">
        <f>+IFERROR(SUMIFS($W$49:$W$53,$C$49:$C$53,$B74,$D$49:$D$53,'3. Convertible Securities'!$B$12),0)</f>
        <v>0</v>
      </c>
      <c r="N74" s="423">
        <f>+IFERROR(SUMIFS($V$49:$V$53,$C$49:$C$53,$B74,$D$49:$D$53,'3. Convertible Securities'!$B$12),0)</f>
        <v>0</v>
      </c>
      <c r="O74" s="38">
        <f>+IFERROR(SUMIFS($E$49:$E$53,$C$49:$C$53,$B74,$D$49:$D$53,'3. Convertible Securities'!$B$13),0)</f>
        <v>25000</v>
      </c>
      <c r="P74" s="38">
        <f>+IFERROR(SUMIFS($W$49:$W$53,$C$49:$C$53,$B74,$D$49:$D$53,'3. Convertible Securities'!$B$13),0)</f>
        <v>40991.01</v>
      </c>
      <c r="Q74" s="423">
        <f>+IFERROR(SUMIFS($V$49:$V$53,$C$49:$C$53,$B74,$D$49:$D$53,'3. Convertible Securities'!$B$13),0)</f>
        <v>40445</v>
      </c>
      <c r="R74" s="407">
        <f t="shared" si="19"/>
        <v>40445</v>
      </c>
      <c r="S74" s="391">
        <f t="shared" ca="1" si="20"/>
        <v>6.9247477077021957E-3</v>
      </c>
      <c r="T74" s="169">
        <f t="shared" si="21"/>
        <v>40445</v>
      </c>
      <c r="U74" s="428">
        <f t="shared" ca="1" si="22"/>
        <v>1.9594832448558055E-3</v>
      </c>
    </row>
    <row r="75" spans="2:36" s="9" customFormat="1" ht="15" customHeight="1" x14ac:dyDescent="0.4">
      <c r="B75" s="417" t="str">
        <f>+B36</f>
        <v>New Investor #1</v>
      </c>
      <c r="C75" s="388" t="s">
        <v>126</v>
      </c>
      <c r="D75" s="406"/>
      <c r="E75" s="103"/>
      <c r="F75" s="103"/>
      <c r="G75" s="389">
        <f t="shared" si="17"/>
        <v>0</v>
      </c>
      <c r="H75" s="390">
        <f>+IFERROR(VLOOKUP(B75,'1. Current Cap Table'!$B$9:$L$28,COLUMN('1. Current Cap Table'!$I$9)-1,FALSE),0)</f>
        <v>0</v>
      </c>
      <c r="I75" s="389">
        <f t="shared" si="18"/>
        <v>0</v>
      </c>
      <c r="J75" s="38">
        <f t="shared" si="23"/>
        <v>2500000</v>
      </c>
      <c r="K75" s="423">
        <f t="shared" si="24"/>
        <v>2466699</v>
      </c>
      <c r="L75" s="38">
        <f>+IFERROR(SUMIFS($E$49:$E$53,$C$49:$C$53,$B75,$D$49:$D$53,'3. Convertible Securities'!$B$12),0)</f>
        <v>0</v>
      </c>
      <c r="M75" s="38">
        <f>+IFERROR(SUMIFS($W$49:$W$53,$C$49:$C$53,$B75,$D$49:$D$53,'3. Convertible Securities'!$B$12),0)</f>
        <v>0</v>
      </c>
      <c r="N75" s="423">
        <f>+IFERROR(SUMIFS($V$49:$V$53,$C$49:$C$53,$B75,$D$49:$D$53,'3. Convertible Securities'!$B$12),0)</f>
        <v>0</v>
      </c>
      <c r="O75" s="38">
        <f>+IFERROR(SUMIFS($E$49:$E$53,$C$49:$C$53,$B75,$D$49:$D$53,'3. Convertible Securities'!$B$13),0)</f>
        <v>0</v>
      </c>
      <c r="P75" s="38">
        <f>+IFERROR(SUMIFS($W$49:$W$53,$C$49:$C$53,$B75,$D$49:$D$53,'3. Convertible Securities'!$B$13),0)</f>
        <v>0</v>
      </c>
      <c r="Q75" s="423">
        <f>+IFERROR(SUMIFS($V$49:$V$53,$C$49:$C$53,$B75,$D$49:$D$53,'3. Convertible Securities'!$B$13),0)</f>
        <v>0</v>
      </c>
      <c r="R75" s="407">
        <f t="shared" si="19"/>
        <v>2466699</v>
      </c>
      <c r="S75" s="391">
        <f t="shared" ca="1" si="20"/>
        <v>0.42233324875364814</v>
      </c>
      <c r="T75" s="169">
        <f t="shared" si="21"/>
        <v>2466699</v>
      </c>
      <c r="U75" s="428">
        <f t="shared" ca="1" si="22"/>
        <v>0.11950687008536458</v>
      </c>
    </row>
    <row r="76" spans="2:36" s="9" customFormat="1" ht="15" customHeight="1" x14ac:dyDescent="0.4">
      <c r="B76" s="417" t="str">
        <f>+B37</f>
        <v>New Investor #2</v>
      </c>
      <c r="C76" s="388" t="s">
        <v>126</v>
      </c>
      <c r="D76" s="406"/>
      <c r="E76" s="103"/>
      <c r="F76" s="103"/>
      <c r="G76" s="389">
        <f t="shared" si="17"/>
        <v>0</v>
      </c>
      <c r="H76" s="390">
        <f>+IFERROR(VLOOKUP(B76,'1. Current Cap Table'!$B$9:$L$28,COLUMN('1. Current Cap Table'!$I$9)-1,FALSE),0)</f>
        <v>0</v>
      </c>
      <c r="I76" s="389">
        <f t="shared" si="18"/>
        <v>0</v>
      </c>
      <c r="J76" s="38">
        <f t="shared" si="23"/>
        <v>500000</v>
      </c>
      <c r="K76" s="423">
        <f t="shared" si="24"/>
        <v>493339</v>
      </c>
      <c r="L76" s="38">
        <f>+IFERROR(SUMIFS($E$49:$E$53,$C$49:$C$53,$B76,$D$49:$D$53,'3. Convertible Securities'!$B$12),0)</f>
        <v>0</v>
      </c>
      <c r="M76" s="38">
        <f>+IFERROR(SUMIFS($W$49:$W$53,$C$49:$C$53,$B76,$D$49:$D$53,'3. Convertible Securities'!$B$12),0)</f>
        <v>0</v>
      </c>
      <c r="N76" s="423">
        <f>+IFERROR(SUMIFS($V$49:$V$53,$C$49:$C$53,$B76,$D$49:$D$53,'3. Convertible Securities'!$B$12),0)</f>
        <v>0</v>
      </c>
      <c r="O76" s="38">
        <f>+IFERROR(SUMIFS($E$49:$E$53,$C$49:$C$53,$B76,$D$49:$D$53,'3. Convertible Securities'!$B$13),0)</f>
        <v>0</v>
      </c>
      <c r="P76" s="38">
        <f>+IFERROR(SUMIFS($W$49:$W$53,$C$49:$C$53,$B76,$D$49:$D$53,'3. Convertible Securities'!$B$13),0)</f>
        <v>0</v>
      </c>
      <c r="Q76" s="423">
        <f>+IFERROR(SUMIFS($V$49:$V$53,$C$49:$C$53,$B76,$D$49:$D$53,'3. Convertible Securities'!$B$13),0)</f>
        <v>0</v>
      </c>
      <c r="R76" s="407">
        <f t="shared" si="19"/>
        <v>493339</v>
      </c>
      <c r="S76" s="391">
        <f t="shared" ca="1" si="20"/>
        <v>8.446651277957952E-2</v>
      </c>
      <c r="T76" s="169">
        <f t="shared" si="21"/>
        <v>493339</v>
      </c>
      <c r="U76" s="428">
        <f t="shared" ca="1" si="22"/>
        <v>2.3901335258596074E-2</v>
      </c>
    </row>
    <row r="77" spans="2:36" s="9" customFormat="1" ht="15" customHeight="1" x14ac:dyDescent="0.4">
      <c r="B77" s="418" t="str">
        <f>+'1. Current Cap Table'!B27</f>
        <v>Unallocated Option Pool</v>
      </c>
      <c r="C77" s="388" t="s">
        <v>186</v>
      </c>
      <c r="D77" s="406">
        <f>+IFERROR(VLOOKUP(B77,'1. Current Cap Table'!$B$9:$L$28,COLUMN('1. Current Cap Table'!$D$9)-1,FALSE),0)+IFERROR(VLOOKUP(B77,'1. Current Cap Table'!$B$9:$L$28,COLUMN('1. Current Cap Table'!$E$9)-1,FALSE),0)</f>
        <v>0</v>
      </c>
      <c r="E77" s="103">
        <f>+IFERROR(VLOOKUP(B77,'1. Current Cap Table'!$B$9:$L$28,COLUMN('1. Current Cap Table'!$F$9)-1,FALSE),0)</f>
        <v>185000</v>
      </c>
      <c r="F77" s="60">
        <f t="shared" ref="F77:F78" si="27">D77+E77</f>
        <v>185000</v>
      </c>
      <c r="G77" s="389">
        <f t="shared" si="17"/>
        <v>1.3405797101449275E-2</v>
      </c>
      <c r="H77" s="390">
        <f>+IFERROR(VLOOKUP(B77,'1. Current Cap Table'!$B$9:$L$28,COLUMN('1. Current Cap Table'!$I$9)-1,FALSE),0)</f>
        <v>0</v>
      </c>
      <c r="I77" s="389">
        <f t="shared" si="18"/>
        <v>0</v>
      </c>
      <c r="J77" s="38">
        <f t="shared" si="23"/>
        <v>0</v>
      </c>
      <c r="K77" s="423">
        <f t="shared" si="24"/>
        <v>0</v>
      </c>
      <c r="L77" s="38">
        <f>+IFERROR(SUMIFS($E$49:$E$53,$C$49:$C$53,$B77,$D$49:$D$53,'3. Convertible Securities'!$B$12),0)</f>
        <v>0</v>
      </c>
      <c r="M77" s="38">
        <f>+IFERROR(SUMIFS($W$49:$W$53,$C$49:$C$53,$B77,$D$49:$D$53,'3. Convertible Securities'!$B$12),0)</f>
        <v>0</v>
      </c>
      <c r="N77" s="423">
        <f>+IFERROR(SUMIFS($V$49:$V$53,$C$49:$C$53,$B77,$D$49:$D$53,'3. Convertible Securities'!$B$12),0)</f>
        <v>0</v>
      </c>
      <c r="O77" s="38">
        <f>+IFERROR(SUMIFS($E$49:$E$53,$C$49:$C$53,$B77,$D$49:$D$53,'3. Convertible Securities'!$B$13),0)</f>
        <v>0</v>
      </c>
      <c r="P77" s="38">
        <f>+IFERROR(SUMIFS($W$49:$W$53,$C$49:$C$53,$B77,$D$49:$D$53,'3. Convertible Securities'!$B$13),0)</f>
        <v>0</v>
      </c>
      <c r="Q77" s="423">
        <f>+IFERROR(SUMIFS($V$49:$V$53,$C$49:$C$53,$B77,$D$49:$D$53,'3. Convertible Securities'!$B$13),0)</f>
        <v>0</v>
      </c>
      <c r="R77" s="407">
        <f t="shared" si="19"/>
        <v>0</v>
      </c>
      <c r="S77" s="391">
        <f t="shared" ca="1" si="20"/>
        <v>0</v>
      </c>
      <c r="T77" s="169">
        <f t="shared" si="21"/>
        <v>185000</v>
      </c>
      <c r="U77" s="428">
        <f t="shared" ca="1" si="22"/>
        <v>8.9628977697694158E-3</v>
      </c>
    </row>
    <row r="78" spans="2:36" s="9" customFormat="1" ht="15" customHeight="1" x14ac:dyDescent="0.4">
      <c r="B78" s="425" t="s">
        <v>118</v>
      </c>
      <c r="C78" s="392" t="s">
        <v>186</v>
      </c>
      <c r="D78" s="426">
        <f>+IFERROR(VLOOKUP(B78,'1. Current Cap Table'!$B$9:$L$28,COLUMN('1. Current Cap Table'!$D$9)-1,FALSE),0)+IFERROR(VLOOKUP(B78,'1. Current Cap Table'!$B$9:$L$28,COLUMN('1. Current Cap Table'!$E$9)-1,FALSE),0)</f>
        <v>0</v>
      </c>
      <c r="E78" s="208">
        <f>+E19</f>
        <v>2000000</v>
      </c>
      <c r="F78" s="233">
        <f t="shared" si="27"/>
        <v>2000000</v>
      </c>
      <c r="G78" s="393">
        <f t="shared" si="17"/>
        <v>0.14492753623188406</v>
      </c>
      <c r="H78" s="394">
        <f>+IFERROR(VLOOKUP(B78,'1. Current Cap Table'!$B$9:$L$28,COLUMN('1. Current Cap Table'!$I$9)-1,FALSE),0)</f>
        <v>0</v>
      </c>
      <c r="I78" s="393">
        <f t="shared" si="18"/>
        <v>0</v>
      </c>
      <c r="J78" s="231">
        <f t="shared" si="23"/>
        <v>0</v>
      </c>
      <c r="K78" s="427">
        <f t="shared" si="24"/>
        <v>0</v>
      </c>
      <c r="L78" s="231">
        <f>+IFERROR(SUMIFS($E$49:$E$53,$C$49:$C$53,$B78,$D$49:$D$53,'3. Convertible Securities'!$B$12),0)</f>
        <v>0</v>
      </c>
      <c r="M78" s="231">
        <f>+IFERROR(SUMIFS($W$49:$W$53,$C$49:$C$53,$B78,$D$49:$D$53,'3. Convertible Securities'!$B$12),0)</f>
        <v>0</v>
      </c>
      <c r="N78" s="427">
        <f>+IFERROR(SUMIFS($V$49:$V$53,$C$49:$C$53,$B78,$D$49:$D$53,'3. Convertible Securities'!$B$12),0)</f>
        <v>0</v>
      </c>
      <c r="O78" s="231">
        <f>+IFERROR(SUMIFS($E$49:$E$53,$C$49:$C$53,$B78,$D$49:$D$53,'3. Convertible Securities'!$B$13),0)</f>
        <v>0</v>
      </c>
      <c r="P78" s="231">
        <f>+IFERROR(SUMIFS($W$49:$W$53,$C$49:$C$53,$B78,$D$49:$D$53,'3. Convertible Securities'!$B$13),0)</f>
        <v>0</v>
      </c>
      <c r="Q78" s="427">
        <f>+IFERROR(SUMIFS($V$49:$V$53,$C$49:$C$53,$B78,$D$49:$D$53,'3. Convertible Securities'!$B$13),0)</f>
        <v>0</v>
      </c>
      <c r="R78" s="395">
        <f t="shared" si="19"/>
        <v>0</v>
      </c>
      <c r="S78" s="396">
        <f t="shared" ca="1" si="20"/>
        <v>0</v>
      </c>
      <c r="T78" s="232">
        <f t="shared" si="21"/>
        <v>2000000</v>
      </c>
      <c r="U78" s="429">
        <f t="shared" ca="1" si="22"/>
        <v>9.68961921056153E-2</v>
      </c>
    </row>
    <row r="79" spans="2:36" s="9" customFormat="1" ht="15" customHeight="1" thickBot="1" x14ac:dyDescent="0.45">
      <c r="B79" s="397" t="s">
        <v>59</v>
      </c>
      <c r="C79" s="399"/>
      <c r="D79" s="398">
        <f t="shared" ref="D79:J79" si="28">SUM(D59:D78)</f>
        <v>9405000</v>
      </c>
      <c r="E79" s="398">
        <f t="shared" si="28"/>
        <v>4395000</v>
      </c>
      <c r="F79" s="398">
        <f t="shared" si="28"/>
        <v>13800000</v>
      </c>
      <c r="G79" s="400">
        <f t="shared" si="28"/>
        <v>1.0000000000000002</v>
      </c>
      <c r="H79" s="398">
        <f t="shared" si="28"/>
        <v>1000000</v>
      </c>
      <c r="I79" s="400">
        <f t="shared" si="28"/>
        <v>1</v>
      </c>
      <c r="J79" s="401">
        <f t="shared" si="28"/>
        <v>3000000</v>
      </c>
      <c r="K79" s="402">
        <f>SUM(K59:K78)</f>
        <v>2960038</v>
      </c>
      <c r="L79" s="401">
        <f>SUM(L59:L78)</f>
        <v>600000</v>
      </c>
      <c r="M79" s="401">
        <f ca="1">SUM(M59:M78)</f>
        <v>2796523.19</v>
      </c>
      <c r="N79" s="402">
        <f ca="1">SUM(N59:N78)</f>
        <v>2759273</v>
      </c>
      <c r="O79" s="401">
        <f t="shared" ref="O79:Q79" si="29">SUM(O59:O78)</f>
        <v>75000</v>
      </c>
      <c r="P79" s="401">
        <f t="shared" si="29"/>
        <v>122973.03</v>
      </c>
      <c r="Q79" s="402">
        <f t="shared" si="29"/>
        <v>121335</v>
      </c>
      <c r="R79" s="403">
        <f t="shared" ref="R79:S79" ca="1" si="30">SUM(R59:R78)</f>
        <v>5840646</v>
      </c>
      <c r="S79" s="404">
        <f t="shared" ca="1" si="30"/>
        <v>1</v>
      </c>
      <c r="T79" s="405">
        <f ca="1">SUM(T59:T78)</f>
        <v>20640646</v>
      </c>
      <c r="U79" s="404">
        <f ca="1">SUM(U59:U78)</f>
        <v>1</v>
      </c>
    </row>
    <row r="80" spans="2:36" s="4" customFormat="1" ht="15" customHeight="1" x14ac:dyDescent="0.4">
      <c r="D80" s="408">
        <f>+D79-('1. Current Cap Table'!D28+'1. Current Cap Table'!E28)</f>
        <v>0</v>
      </c>
      <c r="E80" s="408">
        <f>+E79-('1. Current Cap Table'!F28+'4. Pro Forma Cap Table'!E19)</f>
        <v>0</v>
      </c>
      <c r="H80" s="408">
        <f>+H79-'1. Current Cap Table'!I28</f>
        <v>0</v>
      </c>
      <c r="J80" s="408">
        <f>+J79-SUM(E27:E28)</f>
        <v>0</v>
      </c>
      <c r="K80" s="408"/>
      <c r="M80" s="408">
        <f>+L79-SUMIF($D$49:$D$53,'3. Convertible Securities'!$B$12,E49:E53)</f>
        <v>0</v>
      </c>
      <c r="N80" s="408">
        <f ca="1">+M79-SUMIF($D$49:$D$53,'3. Convertible Securities'!$B$12,W49:W53)</f>
        <v>0</v>
      </c>
      <c r="O80" s="408">
        <f ca="1">+N79-SUMIF($D$49:$D$53,'3. Convertible Securities'!$B$12,V49:V53)</f>
        <v>0</v>
      </c>
      <c r="P80" s="408">
        <f>+O79-SUMIF($D$49:$D$53,'3. Convertible Securities'!$B$13,E49:E53)</f>
        <v>0</v>
      </c>
      <c r="Q80" s="408">
        <f>+P79-SUMIF($D$49:$D$53,'3. Convertible Securities'!$B$13,W49:W53)</f>
        <v>0</v>
      </c>
      <c r="R80" s="408">
        <f>+Q79-SUMIF($D$49:$D$53,'3. Convertible Securities'!$B$13,V49:V53)</f>
        <v>0</v>
      </c>
      <c r="AC80" s="2"/>
      <c r="AD80" s="2"/>
      <c r="AE80" s="2"/>
      <c r="AF80" s="2"/>
      <c r="AG80" s="2"/>
      <c r="AH80" s="2"/>
      <c r="AI80" s="2"/>
      <c r="AJ80" s="2"/>
    </row>
    <row r="81" spans="2:23" ht="15" customHeight="1" x14ac:dyDescent="0.35">
      <c r="E81" s="359"/>
    </row>
    <row r="82" spans="2:23" ht="15" customHeight="1" x14ac:dyDescent="0.4">
      <c r="B82" s="47"/>
    </row>
    <row r="83" spans="2:23" ht="15" customHeight="1" x14ac:dyDescent="0.35">
      <c r="L83" s="360"/>
      <c r="P83" s="357"/>
    </row>
    <row r="84" spans="2:23" ht="14.6" x14ac:dyDescent="0.4">
      <c r="P84" s="366"/>
      <c r="S84" s="364"/>
      <c r="T84" s="356"/>
      <c r="U84" s="357"/>
    </row>
    <row r="85" spans="2:23" x14ac:dyDescent="0.35">
      <c r="P85" s="363"/>
      <c r="U85" s="357"/>
    </row>
    <row r="86" spans="2:23" x14ac:dyDescent="0.35">
      <c r="P86" s="358"/>
      <c r="U86" s="357"/>
      <c r="W86" s="357"/>
    </row>
    <row r="87" spans="2:23" x14ac:dyDescent="0.35">
      <c r="P87" s="359"/>
    </row>
    <row r="88" spans="2:23" x14ac:dyDescent="0.35">
      <c r="P88" s="360"/>
    </row>
    <row r="89" spans="2:23" x14ac:dyDescent="0.35">
      <c r="P89" s="357"/>
    </row>
    <row r="91" spans="2:23" x14ac:dyDescent="0.35">
      <c r="R91" s="361"/>
    </row>
  </sheetData>
  <dataValidations count="1">
    <dataValidation type="list" allowBlank="1" showInputMessage="1" showErrorMessage="1" sqref="E21:E22" xr:uid="{5CE2CFD8-A8F0-414C-BB8E-725B447B624A}">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1. Current Cap Table</vt:lpstr>
      <vt:lpstr>2. Option Grant Ledger</vt:lpstr>
      <vt:lpstr>3. Convertible Securities</vt:lpstr>
      <vt:lpstr>4. Pro Forma Cap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2021-11-06T18:36:10Z</dcterms:created>
  <dcterms:modified xsi:type="dcterms:W3CDTF">2022-03-29T23:06:37Z</dcterms:modified>
  <cp:category/>
  <cp:contentStatus/>
</cp:coreProperties>
</file>